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3735DEEB-3889-484E-B2A6-8CDDCAC7F208}"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T15" i="1"/>
  <c r="BT16" i="1"/>
  <c r="BF17" i="1"/>
  <c r="BT17" i="1"/>
  <c r="BF18" i="1"/>
  <c r="BT18" i="1"/>
  <c r="BT19" i="1"/>
  <c r="BF20" i="1"/>
  <c r="BT20" i="1"/>
  <c r="BT21" i="1"/>
  <c r="BF22" i="1"/>
  <c r="BT22"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T38" i="1"/>
  <c r="BF39" i="1"/>
  <c r="BT39" i="1"/>
  <c r="BF40" i="1"/>
  <c r="BT40" i="1"/>
  <c r="BF41" i="1"/>
  <c r="BT41" i="1"/>
  <c r="BF42" i="1"/>
  <c r="BT42" i="1"/>
  <c r="BF43" i="1"/>
  <c r="BT43" i="1"/>
  <c r="BF44" i="1"/>
  <c r="BT44" i="1"/>
  <c r="BF45" i="1"/>
  <c r="BT45" i="1"/>
  <c r="BF46" i="1"/>
  <c r="BT46" i="1"/>
  <c r="BF47" i="1"/>
  <c r="BT47" i="1"/>
  <c r="BF48" i="1"/>
  <c r="BT48"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F106" i="1"/>
  <c r="BT106" i="1"/>
  <c r="BT107" i="1"/>
  <c r="BF108" i="1"/>
  <c r="BT108" i="1"/>
  <c r="BF109" i="1"/>
  <c r="BT109" i="1"/>
  <c r="BF110" i="1"/>
  <c r="BT110" i="1"/>
  <c r="BF111" i="1"/>
  <c r="BT111" i="1"/>
  <c r="BF112" i="1"/>
  <c r="BT112" i="1"/>
  <c r="BT113" i="1"/>
  <c r="BF114" i="1"/>
  <c r="BT114" i="1"/>
  <c r="BF115" i="1"/>
  <c r="BT115" i="1"/>
  <c r="BF116" i="1"/>
  <c r="BT116" i="1"/>
  <c r="BF117" i="1"/>
  <c r="BT117"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T191" i="1"/>
  <c r="BF192" i="1"/>
  <c r="BT192" i="1"/>
  <c r="BF193" i="1"/>
  <c r="BT193" i="1"/>
  <c r="BF194" i="1"/>
  <c r="BT194" i="1"/>
  <c r="BF195" i="1"/>
  <c r="BT195" i="1"/>
  <c r="BF196" i="1"/>
  <c r="BT196" i="1"/>
  <c r="BF197" i="1"/>
  <c r="BT197"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T218"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T240" i="1"/>
  <c r="BT241" i="1"/>
  <c r="BT242" i="1"/>
  <c r="BT243" i="1"/>
  <c r="BT244" i="1"/>
  <c r="BT245" i="1"/>
  <c r="BF246" i="1"/>
  <c r="BT246" i="1"/>
  <c r="BF247" i="1"/>
  <c r="BT247" i="1"/>
  <c r="BF248" i="1"/>
  <c r="BT248" i="1"/>
  <c r="BF249" i="1"/>
  <c r="BT249" i="1"/>
  <c r="BF250" i="1"/>
  <c r="BT250" i="1"/>
  <c r="BF251" i="1"/>
  <c r="BT251"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T289" i="1"/>
  <c r="BF290" i="1"/>
  <c r="BT290" i="1"/>
  <c r="BF291" i="1"/>
  <c r="BT291" i="1"/>
  <c r="BF292" i="1"/>
  <c r="BT292" i="1"/>
  <c r="BT293"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T366" i="1"/>
  <c r="BT367" i="1"/>
  <c r="BF368" i="1"/>
  <c r="BT368" i="1"/>
  <c r="BF369" i="1"/>
  <c r="BT369" i="1"/>
  <c r="BT370" i="1"/>
  <c r="BT371" i="1"/>
  <c r="BT372" i="1"/>
  <c r="BT373" i="1"/>
  <c r="BT374" i="1"/>
  <c r="BT375" i="1"/>
  <c r="BT376" i="1"/>
  <c r="BT377" i="1"/>
  <c r="BT378" i="1"/>
  <c r="BT379" i="1"/>
  <c r="BT380" i="1"/>
  <c r="BT381" i="1"/>
  <c r="BF382" i="1"/>
  <c r="BT382" i="1"/>
  <c r="BF383" i="1"/>
  <c r="BT383" i="1"/>
  <c r="BF384" i="1"/>
  <c r="BT384" i="1"/>
  <c r="BF385" i="1"/>
  <c r="BT385" i="1"/>
  <c r="BF386" i="1"/>
  <c r="BT386" i="1"/>
  <c r="BF387" i="1"/>
  <c r="BT387" i="1"/>
  <c r="BF388" i="1"/>
  <c r="BT388" i="1"/>
  <c r="BF389" i="1"/>
  <c r="BT389" i="1"/>
  <c r="BF390" i="1"/>
  <c r="BT390" i="1"/>
  <c r="BT391" i="1"/>
  <c r="BF392" i="1"/>
  <c r="BT392" i="1"/>
  <c r="BT393" i="1"/>
  <c r="BT394" i="1"/>
  <c r="BF395" i="1"/>
  <c r="BT395" i="1"/>
  <c r="BF396" i="1"/>
  <c r="BT396"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T478" i="1"/>
  <c r="BT479" i="1"/>
  <c r="BF480" i="1"/>
  <c r="BT480" i="1"/>
  <c r="BF481" i="1"/>
  <c r="BT481" i="1"/>
  <c r="BF482" i="1"/>
  <c r="BT482" i="1"/>
  <c r="BF483" i="1"/>
  <c r="BT483" i="1"/>
  <c r="BT484" i="1"/>
  <c r="BF485" i="1"/>
  <c r="BT485"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T498" i="1"/>
  <c r="BT499" i="1"/>
  <c r="BT500" i="1"/>
  <c r="BF501" i="1"/>
  <c r="BT501" i="1"/>
  <c r="BF502" i="1"/>
  <c r="BT502" i="1"/>
  <c r="BF503" i="1"/>
  <c r="BT503" i="1"/>
  <c r="BT504" i="1"/>
  <c r="BT505" i="1"/>
  <c r="BF506" i="1"/>
  <c r="BT506" i="1"/>
  <c r="BF507" i="1"/>
  <c r="BT507" i="1"/>
  <c r="BF508" i="1"/>
  <c r="BT508" i="1"/>
  <c r="BF509" i="1"/>
  <c r="BT509"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T523" i="1"/>
  <c r="BT524" i="1"/>
  <c r="BT525" i="1"/>
  <c r="BT526" i="1"/>
  <c r="BT527" i="1"/>
  <c r="BT528" i="1"/>
  <c r="BT529" i="1"/>
  <c r="BF530" i="1"/>
  <c r="BT530" i="1"/>
  <c r="BF531" i="1"/>
  <c r="BT531" i="1"/>
  <c r="BF532" i="1"/>
  <c r="BT532" i="1"/>
  <c r="BF533" i="1"/>
  <c r="BT533" i="1"/>
  <c r="BF534" i="1"/>
  <c r="BT534" i="1"/>
  <c r="BF535" i="1"/>
  <c r="BT535" i="1"/>
  <c r="BF536" i="1"/>
  <c r="BT536" i="1"/>
  <c r="BF537" i="1"/>
  <c r="BT537" i="1"/>
  <c r="BF538" i="1"/>
  <c r="BT538" i="1"/>
  <c r="BT539" i="1"/>
  <c r="BT540"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T570" i="1"/>
  <c r="BT571" i="1"/>
  <c r="BF572" i="1"/>
  <c r="BT572" i="1"/>
  <c r="BF573" i="1"/>
  <c r="BT573" i="1"/>
  <c r="BF574" i="1"/>
  <c r="BT574"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T615" i="1"/>
  <c r="BF616" i="1"/>
  <c r="BT616" i="1"/>
  <c r="BF617" i="1"/>
  <c r="BT617" i="1"/>
  <c r="BF618" i="1"/>
  <c r="BT618" i="1"/>
  <c r="BF619" i="1"/>
  <c r="BT619" i="1"/>
  <c r="BF620" i="1"/>
  <c r="BT620" i="1"/>
  <c r="BF621" i="1"/>
  <c r="BT621" i="1"/>
  <c r="BT622" i="1"/>
  <c r="BT623" i="1"/>
  <c r="BF624" i="1"/>
  <c r="BT624" i="1"/>
  <c r="BF625" i="1"/>
  <c r="BT625" i="1"/>
  <c r="BF626" i="1"/>
  <c r="BT626" i="1"/>
  <c r="BF627" i="1"/>
  <c r="BT627" i="1"/>
  <c r="BF628" i="1"/>
  <c r="BT628" i="1"/>
  <c r="BF629" i="1"/>
  <c r="BT629" i="1"/>
  <c r="BT630" i="1"/>
  <c r="BF631" i="1"/>
  <c r="BT631" i="1"/>
  <c r="BF632" i="1"/>
  <c r="BT632" i="1"/>
  <c r="BF633" i="1"/>
  <c r="BT633" i="1"/>
  <c r="BF634" i="1"/>
  <c r="BT634" i="1"/>
  <c r="BF635" i="1"/>
  <c r="BT635" i="1"/>
  <c r="BF636" i="1"/>
  <c r="BT636" i="1"/>
  <c r="BT637" i="1"/>
  <c r="BT638" i="1"/>
  <c r="BT639" i="1"/>
  <c r="BT640" i="1"/>
  <c r="BF641" i="1"/>
  <c r="BT641" i="1"/>
  <c r="BF642" i="1"/>
  <c r="BT642" i="1"/>
  <c r="BF643" i="1"/>
  <c r="BT643" i="1"/>
  <c r="BF644" i="1"/>
  <c r="BT644" i="1"/>
  <c r="BF645" i="1"/>
  <c r="BT645" i="1"/>
  <c r="BT646"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T672" i="1"/>
  <c r="BF673" i="1"/>
  <c r="BT673" i="1"/>
  <c r="BT674" i="1"/>
  <c r="BT675" i="1"/>
  <c r="BT676" i="1"/>
  <c r="BT677" i="1"/>
  <c r="BT678" i="1"/>
  <c r="BT679" i="1"/>
  <c r="BT680" i="1"/>
  <c r="BT681" i="1"/>
  <c r="BT682" i="1"/>
  <c r="BT683" i="1"/>
  <c r="BT684" i="1"/>
  <c r="BT685" i="1"/>
  <c r="BF686" i="1"/>
  <c r="BT686" i="1"/>
  <c r="BF687" i="1"/>
  <c r="BT687" i="1"/>
  <c r="BF688" i="1"/>
  <c r="BT688" i="1"/>
  <c r="BF689" i="1"/>
  <c r="BT689" i="1"/>
  <c r="BF690" i="1"/>
  <c r="BT690" i="1"/>
  <c r="BT691" i="1"/>
  <c r="BF692" i="1"/>
  <c r="BT692" i="1"/>
  <c r="BF693" i="1"/>
  <c r="BT693" i="1"/>
  <c r="BF694" i="1"/>
  <c r="BT694" i="1"/>
  <c r="BF695" i="1"/>
  <c r="BT695" i="1"/>
  <c r="BF696" i="1"/>
  <c r="BT696" i="1"/>
  <c r="BF697" i="1"/>
  <c r="BT697" i="1"/>
  <c r="BF698" i="1"/>
  <c r="BT698" i="1"/>
  <c r="BT699" i="1"/>
  <c r="BF700" i="1"/>
  <c r="BT700" i="1"/>
  <c r="BT701" i="1"/>
  <c r="BT702" i="1"/>
  <c r="BT703" i="1"/>
  <c r="BF704" i="1"/>
  <c r="BT704" i="1"/>
  <c r="BF705" i="1"/>
  <c r="BT705"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T719" i="1"/>
  <c r="BF720" i="1"/>
  <c r="BT720" i="1"/>
  <c r="BF721" i="1"/>
  <c r="BT721" i="1"/>
  <c r="BF722" i="1"/>
  <c r="BT722" i="1"/>
  <c r="BF723" i="1"/>
  <c r="BT723" i="1"/>
  <c r="BF724" i="1"/>
  <c r="BT724" i="1"/>
  <c r="BF725" i="1"/>
  <c r="BT725" i="1"/>
  <c r="BF726" i="1"/>
  <c r="BT726" i="1"/>
  <c r="BF727" i="1"/>
  <c r="BT727" i="1"/>
  <c r="BF728" i="1"/>
  <c r="BT728" i="1"/>
  <c r="BT729"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T800" i="1"/>
  <c r="BT801" i="1"/>
  <c r="BT802" i="1"/>
  <c r="BT803" i="1"/>
  <c r="BF804" i="1"/>
  <c r="BT804" i="1"/>
  <c r="BF805" i="1"/>
  <c r="BT805" i="1"/>
  <c r="BF806" i="1"/>
  <c r="BT806" i="1"/>
  <c r="BF807" i="1"/>
  <c r="BT807" i="1"/>
  <c r="BF808" i="1"/>
  <c r="BT808" i="1"/>
  <c r="BF809" i="1"/>
  <c r="BT809" i="1"/>
  <c r="BF810" i="1"/>
  <c r="BT810" i="1"/>
  <c r="BF811" i="1"/>
  <c r="BT811" i="1"/>
  <c r="BF812" i="1"/>
  <c r="BT812" i="1"/>
  <c r="BF813" i="1"/>
  <c r="BT813"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T834" i="1"/>
  <c r="BT835" i="1"/>
  <c r="BF836" i="1"/>
  <c r="BT836" i="1"/>
  <c r="BF837" i="1"/>
  <c r="BT837" i="1"/>
  <c r="BF838" i="1"/>
  <c r="BT838" i="1"/>
  <c r="BF839" i="1"/>
  <c r="BT839" i="1"/>
  <c r="BF840" i="1"/>
  <c r="BT840" i="1"/>
  <c r="BF841" i="1"/>
  <c r="BT841" i="1"/>
  <c r="BF842" i="1"/>
  <c r="BT842" i="1"/>
  <c r="BF843" i="1"/>
  <c r="BT843" i="1"/>
  <c r="BF844" i="1"/>
  <c r="BT844" i="1"/>
  <c r="BF845" i="1"/>
  <c r="BT845"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T889" i="1"/>
  <c r="BF890" i="1"/>
  <c r="BT890" i="1"/>
  <c r="BT891" i="1"/>
  <c r="BF892" i="1"/>
  <c r="BT892" i="1"/>
  <c r="BF893" i="1"/>
  <c r="BT893" i="1"/>
  <c r="BF894" i="1"/>
  <c r="BT894" i="1"/>
  <c r="BT895" i="1"/>
  <c r="BT896" i="1"/>
  <c r="BT897" i="1"/>
  <c r="BF898" i="1"/>
  <c r="BT898" i="1"/>
  <c r="BF899" i="1"/>
  <c r="BT899" i="1"/>
  <c r="BF900" i="1"/>
  <c r="BT900" i="1"/>
  <c r="BF901" i="1"/>
  <c r="BT901"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T929" i="1"/>
  <c r="BF930" i="1"/>
  <c r="BT930" i="1"/>
  <c r="BF931" i="1"/>
  <c r="BT931" i="1"/>
  <c r="BF932" i="1"/>
  <c r="BT932" i="1"/>
  <c r="BF933" i="1"/>
  <c r="BT933" i="1"/>
  <c r="BT934" i="1"/>
  <c r="BT935" i="1"/>
  <c r="BT936" i="1"/>
  <c r="BF937" i="1"/>
  <c r="BT937" i="1"/>
  <c r="BF938" i="1"/>
  <c r="BT938" i="1"/>
  <c r="BF939" i="1"/>
  <c r="BT939" i="1"/>
  <c r="BF940" i="1"/>
  <c r="BT940" i="1"/>
  <c r="BF941" i="1"/>
  <c r="BT941" i="1"/>
  <c r="BT942" i="1"/>
  <c r="BF943" i="1"/>
  <c r="BT943" i="1"/>
  <c r="BF944" i="1"/>
  <c r="BT944" i="1"/>
  <c r="BF945" i="1"/>
  <c r="BT945" i="1"/>
  <c r="BF946" i="1"/>
  <c r="BT946" i="1"/>
  <c r="BF947" i="1"/>
  <c r="BT947" i="1"/>
  <c r="BF948" i="1"/>
  <c r="BT948" i="1"/>
  <c r="BT949" i="1"/>
  <c r="BF950" i="1"/>
  <c r="BT950" i="1"/>
  <c r="BF951" i="1"/>
  <c r="BT951" i="1"/>
  <c r="BF952" i="1"/>
  <c r="BT952" i="1"/>
  <c r="BF953" i="1"/>
  <c r="BT953" i="1"/>
  <c r="BF954" i="1"/>
  <c r="BT954" i="1"/>
  <c r="BF955" i="1"/>
  <c r="BT955"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T980" i="1"/>
  <c r="BF981" i="1"/>
  <c r="BT981" i="1"/>
  <c r="BF982" i="1"/>
  <c r="BT982" i="1"/>
  <c r="BF983" i="1"/>
  <c r="BT983" i="1"/>
  <c r="BF984" i="1"/>
  <c r="BT984" i="1"/>
  <c r="BF985" i="1"/>
  <c r="BT985" i="1"/>
  <c r="BF986" i="1"/>
  <c r="BT986" i="1"/>
  <c r="BF987" i="1"/>
  <c r="BT987" i="1"/>
  <c r="BF988" i="1"/>
  <c r="BT988" i="1"/>
  <c r="BT989" i="1"/>
  <c r="BF990" i="1"/>
  <c r="BT990" i="1"/>
  <c r="BF991" i="1"/>
  <c r="BT991" i="1"/>
  <c r="BF992" i="1"/>
  <c r="BT992" i="1"/>
  <c r="BF993" i="1"/>
  <c r="BT993" i="1"/>
  <c r="BF994" i="1"/>
  <c r="BT994" i="1"/>
  <c r="BF995" i="1"/>
  <c r="BT995" i="1"/>
  <c r="BF996" i="1"/>
  <c r="BT996" i="1"/>
  <c r="BF997" i="1"/>
  <c r="BT997" i="1"/>
  <c r="BT998" i="1"/>
  <c r="BF999" i="1"/>
  <c r="BT999" i="1"/>
  <c r="BF1000" i="1"/>
  <c r="BT1000" i="1"/>
  <c r="BF1001" i="1"/>
  <c r="BT1001" i="1"/>
</calcChain>
</file>

<file path=xl/sharedStrings.xml><?xml version="1.0" encoding="utf-8"?>
<sst xmlns="http://schemas.openxmlformats.org/spreadsheetml/2006/main" count="59681" uniqueCount="14173">
  <si>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</si>
  <si>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</si>
  <si>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</si>
  <si>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</si>
  <si>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</si>
  <si>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</si>
  <si>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</si>
  <si>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</si>
  <si>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</si>
  <si>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</si>
  <si>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</si>
  <si>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</si>
  <si>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</si>
  <si>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</si>
  <si>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</si>
  <si>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</si>
  <si>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</si>
  <si>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</si>
  <si>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</si>
  <si>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</si>
  <si>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</si>
  <si>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</si>
  <si>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</si>
  <si>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</si>
  <si>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</si>
  <si>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</si>
  <si>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</si>
  <si>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</si>
  <si>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</si>
  <si>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</si>
  <si>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</si>
  <si>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</si>
  <si>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</si>
  <si>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</si>
  <si>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</si>
  <si>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</si>
  <si>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</si>
  <si>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</si>
  <si>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</si>
  <si>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</si>
  <si>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</si>
  <si>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</si>
  <si>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</si>
  <si>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</si>
  <si>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</si>
  <si>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</si>
  <si>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</si>
  <si>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</si>
  <si>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</si>
  <si>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</si>
  <si>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</si>
  <si>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</si>
  <si>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</si>
  <si>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</si>
  <si>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</si>
  <si>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</si>
  <si>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</si>
  <si>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</si>
  <si>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</si>
  <si>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</si>
  <si>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</si>
  <si>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</si>
  <si>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</si>
  <si>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</si>
  <si>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</si>
  <si>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</si>
  <si>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</si>
  <si>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</si>
  <si>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</si>
  <si>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</si>
  <si>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</si>
  <si>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</si>
  <si>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</si>
  <si>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Tanton, JL; Reid, K; Croxall, JP; Trathan, PN</t>
  </si>
  <si>
    <t/>
  </si>
  <si>
    <t>Winter distribution and behaviour of gentoo penguins Pygoscelis papua at South Georgia</t>
  </si>
  <si>
    <t>POLAR BIOLOGY</t>
  </si>
  <si>
    <t>English</t>
  </si>
  <si>
    <t>Article</t>
  </si>
  <si>
    <t>SEALS ARCTOCEPHALUS-GAZELLA; MACARONI PENGUINS; EUDYPTES-CHRYSOLOPHUS; INFORMATION-CENTERS; OXYGEN-CONSUMPTION; FORAGING ECOLOGY; BREEDING-SEASON; DIVING PATTERN; BIRD-ISLAND; HEART-RATE</t>
  </si>
  <si>
    <t>Knowledge of the spatial and temporal dynamics of foraging penguins is important to our understanding of the Southern Ocean marine ecosystem. We use satellite tracking to provide the first data on the distribution and behaviour of gentoo penguins (Pygoscelis papua) during the winter at South Georgia. Five penguins tracked from Bird Island remained close inshore, and although they did not return to the initial tagging site, they did appear to return to land each evening. They made diurnal trips to sea of similar distance from land as those during the breeding season, even though the constraints of chick rearing were absent. Despite potential greater flexibility in their responses to variations in prey availability in winter, the penguins still returned to land each night. This may reflect benefits from conserving energy by resting on land, possibly facilitating information exchange and avoiding predation. The distribution and behaviour of gentoo penguins during the winter enables efficient exploitation of a dynamic, patchy prey resource and may ultimately determine the timing of return to the colony, and onset of breeding in the following season.</t>
  </si>
  <si>
    <t>British Antarctic Survey, NERC, Cambridge CB3 0ET, England</t>
  </si>
  <si>
    <t>UK Research &amp; Innovation (UKRI); Natural Environment Research Council (NERC); NERC British Antarctic Survey</t>
  </si>
  <si>
    <t>British Antarctic Survey, NERC, High Cross,Madingley Rd, Cambridge CB3 0ET, England.</t>
  </si>
  <si>
    <t>k.reid@bas.ac.uk</t>
  </si>
  <si>
    <t>Tennant, Jane/C-5226-2011</t>
  </si>
  <si>
    <t>SPRINGER</t>
  </si>
  <si>
    <t>NEW YORK</t>
  </si>
  <si>
    <t>233 SPRING ST, NEW YORK, NY 10013 USA</t>
  </si>
  <si>
    <t>0722-4060</t>
  </si>
  <si>
    <t>1432-2056</t>
  </si>
  <si>
    <t>POLAR BIOL</t>
  </si>
  <si>
    <t>Polar Biol.</t>
  </si>
  <si>
    <t>APR</t>
  </si>
  <si>
    <t>10.1007/s00300-004-0592-6</t>
  </si>
  <si>
    <t>Biodiversity Conservation; Ecology</t>
  </si>
  <si>
    <t>Science Citation Index Expanded (SCI-EXPANDED)</t>
  </si>
  <si>
    <t>Biodiversity &amp; Conservation; Environmental Sciences &amp; Ecology</t>
  </si>
  <si>
    <t>802US</t>
  </si>
  <si>
    <t>2024-04-21</t>
  </si>
  <si>
    <t>WOS:000220189000005</t>
  </si>
  <si>
    <t>Hucke-Gaete, R; Osman, LP; Moreno, CA; Torres, D</t>
  </si>
  <si>
    <t>Examining natural population growth from near extinction: the case of the Antarctic fur seal at the South Shetlands, Antarctica</t>
  </si>
  <si>
    <t>Arctocephalus gazella; population recovery; time series; monitoring; exploitation; carrying capacity</t>
  </si>
  <si>
    <t>ARCTOCEPHALUS-GAZELLA; HEARD-ISLAND; ECOLOGY</t>
  </si>
  <si>
    <t>This study examined the recovery process of an Antarctic fur-seal population, starting from minimal numbers after commercial exploitation to the now largest breeding population in the South Shetland Archipelago, Cape Shirreff and San Telmo Islets. It used direct census data from 20 breeding seasons (including 11 consecutive years) that spanned over 45 years. Since early population estimates, pup production increased at an intrinsic rate of ca. 20% which, during the last decade, dramatically slowed to 4.6%. The population-change trajectory is currently converging into a tightly bounded oscillation around an apparent equilibrium (carrying capacity), which is an order of magnitude lower than those levels before exploitation began. This pattern suggests the onset of an alternative stable state and highlights the far-reaching implications of strong and large-scale perturbations on marine systems.</t>
  </si>
  <si>
    <t>Univ Austral Chile, Inst Ecol &amp; Evoluc, Valdivia, Chile; Inst Antartico Chileno, Santiago, Chile</t>
  </si>
  <si>
    <t>Universidad Austral de Chile</t>
  </si>
  <si>
    <t>Univ Austral Chile, Inst Ecol &amp; Evoluc, Casilla 567, Valdivia, Chile.</t>
  </si>
  <si>
    <t>rhuckeg@telsur.cl</t>
  </si>
  <si>
    <t>Hucke-Gaete, Rodrigo/0000-0003-3515-9145</t>
  </si>
  <si>
    <t>10.1007/s00300-003-0587-8</t>
  </si>
  <si>
    <t>WOS:000220189000006</t>
  </si>
  <si>
    <t>Sancho, LG; Pintado, A</t>
  </si>
  <si>
    <t>Evidence of high annual growth rate for lichens in the maritime Antarctic</t>
  </si>
  <si>
    <t>SOUTH SHETLAND ISLANDS; RHIZOCARPON-GEOGRAPHICUM; LIVINGSTON-ISLAND; RECENT RETREAT; ICE SHELVES; PENINSULA; LICHENOMETRY; COLONIZATION; MOVEMENTS; MORAINES</t>
  </si>
  <si>
    <t>On Livingston Island (South Shetland Islands, Antarctica) young moraines, now roughly 45 years old, were investigated in 1991 and 2002. More than 500 thalli of the 6 most abundant species, Acarospora macrocyclos, Bellemerea sp. Buellia latemarginata, Caloplaca sublobulata, Rhizocarpon geographicum and Usnea antarctica, previously measured in 1991, were measured again in 2002, which allowed an accurate measure of thallus growth rates. From our results, we believe it important to emphasize that: (1) lichen colonization probably took place at the end of the 1950s, soon after the last glacier retreat. (2) No relation between thallus growth rate and boulder size could be established. (3) Higher annual growth rates than those previously estimated were observed for R. geographicum and Bellemerea sp. and the former had one of the highest growth rates ever reported for this species. We speculate whether this high growth rate may be related to the rapid retreat of the Livingston Island ice cap and glaciers during the last recent years, and which have been attributed to climate warming on the Antarctic Peninsula region.</t>
  </si>
  <si>
    <t>Univ Complutense Madrid, Fac Farm, Dept Biol Vegetal 2, E-28040 Madrid, Spain</t>
  </si>
  <si>
    <t>Complutense University of Madrid</t>
  </si>
  <si>
    <t>Sancho, LG (corresponding author), Univ Complutense Madrid, Fac Farm, Dept Biol Vegetal 2, E-28040 Madrid, Spain.</t>
  </si>
  <si>
    <t>sancholg@farm.ucm.es</t>
  </si>
  <si>
    <t>Pintado, Ana/G-9881-2015; Sancho, leopoldo G./H-2974-2013; SANCHO, LEOPOLDO/G-9120-2015</t>
  </si>
  <si>
    <t>SANCHO, LEOPOLDO/0000-0002-4751-7475; PINTADO, ANA/0000-0003-3007-1486</t>
  </si>
  <si>
    <t>SPRINGER-VERLAG</t>
  </si>
  <si>
    <t>175 FIFTH AVE, NEW YORK, NY 10010 USA</t>
  </si>
  <si>
    <t>10.1007/s00300-004-0594-4</t>
  </si>
  <si>
    <t>WOS:000220189000007</t>
  </si>
  <si>
    <t>Harris, JW; Woehler, EJ</t>
  </si>
  <si>
    <t>Can the important bird area approach improve the antarctic protected area system?</t>
  </si>
  <si>
    <t>POLAR RECORD</t>
  </si>
  <si>
    <t>The selection of sites that comprise the existing network of Antarctic protected areas has been largely ad hoc, driven by national interests rather than concerted efforts to ensure systematic and representative coverage of the Antarctic environment. Consequently there are gaps in coverage of all major ecosystems, in particular areas kept inviolate from human activity, inland lakes, and marine protected areas. Annex V of the 1991 Protocol on Environmental Protection to the Antarctic Treaty provides a list of values to be protected within a network of Antarctic Specially Protected Areas (ASPAs), but provides no quantitative methods for site identification and prioritisation. The Antarctic Important Bird Area (IBA) Inventory is a joint initiative of BirdLife International and the Scientific Committee on Antarctic Research Group of Experts on Birds (formerly the Bird Biology Subcommittee). The Antarctic IBA Inventory has identified 119 candidate IBAs, 97 of which are not currently protected as ASP-As. The IBA Inventory can improve the Antarctic Protected Area System (PAS) in that it provides a method by which to identify and prioritise sites for their potential inclusion in the Antarctic PAS.</t>
  </si>
  <si>
    <t>Univ Tasmania, Inst Antarctic &amp; So Ocean Studies, Hobart, Tas 7001, Australia; Australian Antarctic Div, Kingston, Tas 7050, Australia</t>
  </si>
  <si>
    <t>University of Tasmania; Australian Antarctic Division</t>
  </si>
  <si>
    <t>Harris, JW (corresponding author), Univ Tasmania, Inst Antarctic &amp; So Ocean Studies, GPO Box 252-77, Hobart, Tas 7001, Australia.</t>
  </si>
  <si>
    <t>eric.woehler@aad.gov.au</t>
  </si>
  <si>
    <t>Woehler, Eric/0000-0002-1125-0748</t>
  </si>
  <si>
    <t>CAMBRIDGE UNIV PRESS</t>
  </si>
  <si>
    <t>32 AVENUE OF THE AMERICAS, NEW YORK, NY 10013-2473 USA</t>
  </si>
  <si>
    <t>0032-2474</t>
  </si>
  <si>
    <t>1475-3057</t>
  </si>
  <si>
    <t>POLAR REC</t>
  </si>
  <si>
    <t>POLAR REC.</t>
  </si>
  <si>
    <t>10.1017/S0032247403003322</t>
  </si>
  <si>
    <t>Ecology; Environmental Sciences</t>
  </si>
  <si>
    <t>Environmental Sciences &amp; Ecology</t>
  </si>
  <si>
    <t>892FF</t>
  </si>
  <si>
    <t>WOS:000226634700001</t>
  </si>
  <si>
    <t>Blanchette, RA; Held, BW; Jurgens, JA; Aislabie, J; Duncan, S; Farrell, RL</t>
  </si>
  <si>
    <t>Environmental pollutants from the Scott and Shackleton expeditions during the 'Heroic Age' of Antarctic exploration</t>
  </si>
  <si>
    <t>POLYCYCLIC AROMATIC-HYDROCARBONS</t>
  </si>
  <si>
    <t>Early explorers to Antarctica built wooden huts and brought huge quantities of supplies and equipment to support their geographical and scientific studies for several years. When the expeditions ended and relief ships arrived. a rapid exodus frequently allowed only essential items to be taken north. The huts and thousands of items were left behind. Fuel depots with unused containers of petroleum products, asbestos materials. and diverse chemicals were also left at the huts. This investigation found high concentrations of polyaromatic hydrocarbons in soils under and around the historic fuel depots, including anthracene, benzo[b]fluoranthene, benzo[k]fluoranthene. chrysene, fluorene, and pyrene, as well as benzo[a]anthracene, benzo[a]pyrene, and fluoranthene. which are recognized carcinogens. Asbestos materials within the huts have been identified and extensive amounts of fragmented asbestos were, found littering, the ground around the Cape Evans hut. These materials are continually abraded and fragmented as tourists walk over them and the coarse scoria breaks and grinds down the materials. A chemical spill, within the Cape Evans hut, apparently from caustic substances from one of the scientific experiments, has caused an unusual deterioration and defibration on affected woods. Although these areas are important historic sites protected by international treaties. the hazardous waste materials left by the early explorers should be removed and remedial action taken to restore the site to as pristine a condition as possible. Recommendations are discussed for international efforts to study and clean up these areas. where the earliest environmental pollution in Antarctica was produced.</t>
  </si>
  <si>
    <t>Univ Minnesota, Dept Plant Pathol, St Paul, MN 55108 USA; Landcare Res, Hamilton, New Zealand; Univ Waikato, Dept Biol Sci, Dunedin, New Zealand</t>
  </si>
  <si>
    <t>University of Minnesota System; University of Minnesota Twin Cities; Landcare Research - New Zealand; University of Waikato</t>
  </si>
  <si>
    <t>Univ Minnesota, Dept Plant Pathol, 1991 Upper Buford Circle,495 Borlaug Hall, St Paul, MN 55108 USA.</t>
  </si>
  <si>
    <t>Blanchette, Robert A./0000-0003-2819-6511</t>
  </si>
  <si>
    <t>10.1017/S0032247403003334</t>
  </si>
  <si>
    <t>Green Submitted</t>
  </si>
  <si>
    <t>WOS:000226634700006</t>
  </si>
  <si>
    <t>Savitt, R</t>
  </si>
  <si>
    <t>Antarctic sledging preparations and tacit knowledge</t>
  </si>
  <si>
    <t>The article discusses how organisational structure and culture affected the preparations for sledging in three Antarctic expeditions between 1901 and 1904. The central focus is how expedition leaders sought tacit knowledge, 'the knowledge of how we do things.' Two organisational types were derived from a study of 36 major polar expeditions. These - the industrial organisation and the innovative organisation - were used to analyse how sledging practices evolved in the British National Antarctic Expedition, German South Polar Expedition, and Scottish National Antarctic Expedition. Robert Falcon Scott, in great part as a result of his naval heritage. did not fully understand the need for and the methods required to gain the operational knowledge required for sledging in Antarctica. He applied the traditional command-and-control system based on naval tradition. Erich von Drygalski and William Speirs Bruce applied Fridtjof Nansen's scientific approach, in which the scientific staffs were integrated into sledging, operations. In this approach, every variable that could possibly affect the outcome of the research was incorporated into preparations. much as is the case in classical experimental design. While no attempt is made to judge sledging Success in the study, the results clearly indicate the importance of knowing how to use the tacit dimension in sledging. The implications of far beyond sledging and suggest the need for managers to have an intimate understanding of how things work.</t>
  </si>
  <si>
    <t>Savitt Associates, Portland, OR 97212 USA</t>
  </si>
  <si>
    <t>Savitt, R (corresponding author), Savitt Associates, 2702 NE Bryce St, Portland, OR 97212 USA.</t>
  </si>
  <si>
    <t>40 WEST 20TH ST, NEW YORK, NY 10011-4211 USA</t>
  </si>
  <si>
    <t>10.1017/S0032247403003346</t>
  </si>
  <si>
    <t>WOS:000226634700007</t>
  </si>
  <si>
    <t>Renfrew, IA</t>
  </si>
  <si>
    <t>The dynamics of idealized katabatic flow over a moderate slope and ice shelf</t>
  </si>
  <si>
    <t>QUARTERLY JOURNAL OF THE ROYAL METEOROLOGICAL SOCIETY</t>
  </si>
  <si>
    <t>Antarctica downslope winds; hydraulic jump; internal gravity waves; mesoscale model; RMS</t>
  </si>
  <si>
    <t>TERRA-NOVA BAY; ATMOSPHERIC BOUNDARY-LAYER; WIND REGIME; WEST ANTARCTICA; SIPLE COAST; ADELIE LAND; MODEL; SIMULATION; GREENLAND; ZONE</t>
  </si>
  <si>
    <t>A non-hydrostatic numerical weather prediction model has been employed to Simulate idealized katabatic flows over a moderate slope and adjoining ice shelf. The topography of Coats Land and the adjoining Brunt Ice Shelf. Antarctica. has been used: this is typical of much of the Antarctic coastline. The Regional Atmospheric Modeling System Version 4.3 has been adapted for simulations over compacted snow, most notably through changes to the multi-layer soil model. The Simulations are initialized using clear-sky conditions and at rest. On the slope. a shallow katabatic flow develops, the winds becoming approximately steady on the slope by similar to12 h. The peak downslope winds are about 7 m s(-1) at 30 m above the snow surface. The katabatic flow depth ranges from 50 to 100 m down the slope. Over the ice shelf the katabatic flow peters out, while a pool of cold air develops, primarily through sensible-heat loss into the surface and partially balancing the net radiative-heat loss to space. Near-surface and Sounding data from the model simulations compare well with archetypal and typical katabatic flow observations. especially after some tuning of the model's turbulence parametrization. An analysis of the downslope flow dynamics shows the buoyancy force is generally balanced by the inertial force. except towards the foot of the slope where it is balanced by upslope forces related to gradients in the potential-temperature deficit and katabatic-layer height. caused by the pool of cold air over the ice shelf. Over time, the cooling of the ice shelf boundary layer leads to an apparent retreat of the katabatic flow from the ice shelf and some way up the slope. The dynamical analysis explains the surface climatology observed, such that the persistent katabatic winds of Coats Land rarely reach the Brunt Ice Shelf. The simulated katabatic flow moves from 'shooting' to 'tranquil' towards the foot of the slope. This transition acts to trigger a train of internal gravity waves which propagate energy upwards away from the katabatic flow JUMP. Previous studies have also found shooting to tranquil katabatic flow transitions, so to generalize these findings Would suggest that internal gravity-wave generation is ubiquitous around much of coastal Antarctica and Greenland.</t>
  </si>
  <si>
    <t>British Antarctic Survey, Div Phys Sci, Nat Environm Res Council, Cambridge CB3 0ET, England</t>
  </si>
  <si>
    <t>British Antarctic Survey, Div Phys Sci, Nat Environm Res Council, High Cross,Madingley Rd, Cambridge CB3 0ET, England.</t>
  </si>
  <si>
    <t>i.renfrew@bas.ac.uk</t>
  </si>
  <si>
    <t>Renfrew, Ian A/E-4057-2010</t>
  </si>
  <si>
    <t>Renfrew, Ian/0000-0001-9379-8215</t>
  </si>
  <si>
    <t>WILEY-BLACKWELL</t>
  </si>
  <si>
    <t>HOBOKEN</t>
  </si>
  <si>
    <t>111 RIVER ST, HOBOKEN 07030-5774, NJ USA</t>
  </si>
  <si>
    <t>0035-9009</t>
  </si>
  <si>
    <t>1477-870X</t>
  </si>
  <si>
    <t>Q J ROY METEOR SOC</t>
  </si>
  <si>
    <t>Q. J. R. Meteorol. Soc.</t>
  </si>
  <si>
    <t>A</t>
  </si>
  <si>
    <t>10.1256/qj.03.24</t>
  </si>
  <si>
    <t>Meteorology &amp; Atmospheric Sciences</t>
  </si>
  <si>
    <t>819DA</t>
  </si>
  <si>
    <t>Green Accepted</t>
  </si>
  <si>
    <t>WOS:000221292200014</t>
  </si>
  <si>
    <t>Roscoe, HK; Fowler, CL; Shanklin, JD; Hill, JGT</t>
  </si>
  <si>
    <t>Possible long-term changes in stratospheric circulation: Evidence from total ozone measurements at the edge of the Antarctic vortex in early winter</t>
  </si>
  <si>
    <t>atmosphere; dynamics; residual; trend</t>
  </si>
  <si>
    <t>INTERANNUAL VARIABILITY; HOLE; TRENDS; MODEL</t>
  </si>
  <si>
    <t>Measurements of total ozone in Antarctica during early winter show an increase, consistent with the observed descent of stratospheric air and the convergence that accompanies descent. Measurements in the vortex edge region at Faraday (65degreesS) show that the rate of increase has on average doubled between the 1960s and the 1990s. We speculate that this increase in rate of ozone change is caused by an increase in convergence. If so, it suggests that the strength of the Brewer-Dobson residual stratospheric circulation, which brings tropospheric air into the stratosphere with its accompanying chlorofluorocarbons and greenhouse gases, increased significantly. There is no obvious explanation for an increase in the circulation. Models predict that an ozone hole increases vortex strength, but only later in the spring. Models also predict that increased greenhouse gases increase the circulation, but the convergence did not increase gradually whereas greenhouse gases did. Some of the measurements in the 1990s are able to distinguish the different rates of increase of ozone in individual years, which show considerable variability, as expected following the eruption of Pinatubo.</t>
  </si>
  <si>
    <t>NERC, British Antarctic Survey, Cambridge CB3 0ET, England</t>
  </si>
  <si>
    <t>Roscoe, HK (corresponding author), NERC, British Antarctic Survey, Madingley Rd, Cambridge CB3 0ET, England.</t>
  </si>
  <si>
    <t>hkro@bas.ac.uk</t>
  </si>
  <si>
    <t>WILEY</t>
  </si>
  <si>
    <t>10.1256/qj.03.70</t>
  </si>
  <si>
    <t>WOS:000221292200018</t>
  </si>
  <si>
    <t>Villar, SEJ; Edwards, HGM; Seaward, MRD</t>
  </si>
  <si>
    <t>Lichen biodeterioration of ecclesiastical monuments in northern Spain</t>
  </si>
  <si>
    <t>SPECTROCHIMICA ACTA PART A-MOLECULAR AND BIOMOLECULAR SPECTROSCOPY</t>
  </si>
  <si>
    <t>lichens; FT-Raman spectroscopy; spectral biomarkers; pigments</t>
  </si>
  <si>
    <t>RAMAN-SPECTROSCOPY; ANTARCTIC HABITATS; IN-SITU; ENCRUSTATIONS; DESERT</t>
  </si>
  <si>
    <t>Seven highly-coloured lichen species belonging to the genera Caloplaca, Candelariella, Aspicilia and Xanthoria from ecclesiastical buildings in northern Spain have been analysed non-destructively by FT-Raman spectroscopy. The vibrational band assignments in the spectra of the specimens, which were still attached to their limestone or sandstone substrata, were accomplished with the assistance of the chemical compositions obtained from wet chemical extraction methods. P-Carotene was found in all specimens as the major pigment, and the characteristic spectral signatures of calcium oxalate monohydrate (whewellite) and dihydrate (weddelite) could be identified; chemical signatures were found for these materials even in lichen thalli growing the non-calcareous substrata, indicating, probably, that the calcium was provided here from wind-or-rain-borne sources. The Raman spectral biomarkers found in the lichens broadly agreed with the chemical extraction profiles as expected, but the present study indicates that some form of non-destructive taxonomic identification based on Raman spectroscopy was possible. (C) 2003 Elsevier B.V. All rights reserved.</t>
  </si>
  <si>
    <t>Univ Bradford, Dept Chem &amp; Forens Sci, Bradford BD7 1DP, W Yorkshire, England; Univ Burgos, Fac Human &amp; Educ, Area Geodinam Interna, Burgos 09001, Spain; Univ Bradford, Dept Environm Sci, Bradford BD7 1DP, W Yorkshire, England</t>
  </si>
  <si>
    <t>University of Bradford; Universidad de Burgos; University of Bradford</t>
  </si>
  <si>
    <t>Villar, SEJ (corresponding author), Univ Bradford, Dept Chem &amp; Forens Sci, Bradford BD7 1DP, W Yorkshire, England.</t>
  </si>
  <si>
    <t>seju@ubu.es</t>
  </si>
  <si>
    <t>Jorge-Villar, Susana E./A-8927-2011</t>
  </si>
  <si>
    <t>Jorge-Villar, Susana E./0000-0003-1676-4438</t>
  </si>
  <si>
    <t>PERGAMON-ELSEVIER SCIENCE LTD</t>
  </si>
  <si>
    <t>OXFORD</t>
  </si>
  <si>
    <t>THE BOULEVARD, LANGFORD LANE, KIDLINGTON, OXFORD OX5 1GB, ENGLAND</t>
  </si>
  <si>
    <t>1386-1425</t>
  </si>
  <si>
    <t>SPECTROCHIM ACTA A</t>
  </si>
  <si>
    <t>Spectroc. Acta Pt. A-Molec. Biomolec. Spectr.</t>
  </si>
  <si>
    <t>10.1016/j.saa.2003.08.005</t>
  </si>
  <si>
    <t>Spectroscopy</t>
  </si>
  <si>
    <t>817VZ</t>
  </si>
  <si>
    <t>WOS:000221206300027</t>
  </si>
  <si>
    <t>Mellado, GG; Zubía, E; Ortega, MJ; López-González, PJ</t>
  </si>
  <si>
    <t>New polyoxygenated steroids from the Antarctic octocoral Dasystenella acanthina</t>
  </si>
  <si>
    <t>STEROIDS</t>
  </si>
  <si>
    <t>steroids; octocorals; Dasystenella acanthina; structure elucidation; cytotoxicity</t>
  </si>
  <si>
    <t>CORAL ALCYONIUM-PAESSLERI; GORGONIAN ISIS-HIPPURIS; MARINE NATURAL-PRODUCTS; METABOLITES; SESQUITERPENOIDS; XESTOSPONGIA; KETONES; SPONGE</t>
  </si>
  <si>
    <t>The chemical study of the Antarctic octocoral Dasystenella acanthina has led to the isolation of the new polyoxygenated steroids (24R,22E)-24-hydroxycholest-4,22-dien-3-one (1), 23-acetoxy-24,25-epoxycholest-4-en-3-one (2), 12beta-acetoxycholest-4-en-3,24-dione (3), 12beta-acetoxy-24,25-epoxycholest-4-en-3-one (4), (22E)-25-hydroxy-24-norcholest-4,22-dien-3-one (5), 3alpha-acetoxy-25-hydroxycholest-4-en-6-one (6), and 3alpha,11alpha-diacetoxy-25-hydroxycholest-4-en-6-one (7), whose structures have been established by spectroscopic analysis. The absolute stereochemistry at C-24 in compound 1 has been determined through the H-1 NMR study of the corresponding (R)- and (S)-MPA esters. All the new compounds showed significant activities as growth inhibitors of several human tumor cell lines. In addition, cytostatic and cytotoxic effects were also observed on selected tumor cell lines. (C) 2004 Elsevier Inc. All rights reserved.</t>
  </si>
  <si>
    <t>Univ Cadiz, Fac Ciencias Mar &amp; Ambientales, Dept Quim Organ, Cadiz 11510, Spain; Univ Seville, Fac Biol, Dept Fisiol &amp; Zool, Seville 41012, Spain</t>
  </si>
  <si>
    <t>Universidad de Cadiz; University of Sevilla</t>
  </si>
  <si>
    <t>Univ Cadiz, Fac Ciencias Mar &amp; Ambientales, Dept Quim Organ, Apdo 40, Cadiz 11510, Spain.</t>
  </si>
  <si>
    <t>eva.zubia@uca.es</t>
  </si>
  <si>
    <t>Zubía, Eva/AAT-8665-2020; Lopez-González, Pablo J./Y-6440-2018; Ortega, María J./AAS-8650-2020</t>
  </si>
  <si>
    <t>Zubía, Eva/0000-0002-3254-6767; Lopez-González, Pablo J./0000-0002-7348-6270; Ortega Aguera, Maria Jesus/0000-0002-4229-8832</t>
  </si>
  <si>
    <t>ELSEVIER SCIENCE INC</t>
  </si>
  <si>
    <t>360 PARK AVE SOUTH, NEW YORK, NY 10010-1710 USA</t>
  </si>
  <si>
    <t>0039-128X</t>
  </si>
  <si>
    <t>1878-5867</t>
  </si>
  <si>
    <t>Steroids</t>
  </si>
  <si>
    <t>10.1016/j.steroids.2004.02.005</t>
  </si>
  <si>
    <t>Biochemistry &amp; Molecular Biology; Endocrinology &amp; Metabolism</t>
  </si>
  <si>
    <t>Science Citation Index Expanded (SCI-EXPANDED); Index Chemicus (IC)</t>
  </si>
  <si>
    <t>832FS</t>
  </si>
  <si>
    <t>WOS:000222253300009</t>
  </si>
  <si>
    <t>Ribera, P; Gallego, D; Gimeno, L; Perez-Campos, JF; García-Herrera, R; Hernández, E; de la Torre, L; Nieto, R; Calvo, N</t>
  </si>
  <si>
    <t>The use of equivalent temperature to analyse climate variability</t>
  </si>
  <si>
    <t>STUDIA GEOPHYSICA ET GEODAETICA</t>
  </si>
  <si>
    <t>climate change; temperature; humidity</t>
  </si>
  <si>
    <t>NORTH-ATLANTIC OSCILLATION; TRENDS; REANALYSIS; EXTENSION; HUMIDITY; SURFACE; INDEX</t>
  </si>
  <si>
    <t>Equivalent temperature based in the NCEP/NCAR reanalysis database has been used as a simultaneous measure of temperature and humidity. Its variations during the 1958-1998 added to the effect of the inclusion of satellite data during the late seventies have been analyzed. An increase of the globally averaged equivalent temperature has been detected, the trend has been considerably greater during the first half of the study period and significant differences can be found between continental and oceanic areas. The relation of the trend with four of the main modes of climate variability has been assessed. The North Atlantic Oscillation and the Artic Oscillations are closely related to the equivalent temperature over the North Atlantic basin, extending toward Northern Asia in the second case. El Nino/Southern Oscillation and the Antarctic Oscillation seem to have a more global effect.</t>
  </si>
  <si>
    <t>Univ Pablo Olavide, Dept Ciencias Ambientales, Seville 41013, Spain; Univ Vigo, Dept Fis Aplicada, Orense 32004, Spain; Univ Complutense, Dept Fis Atmosfera 2, E-28040 Madrid, Spain</t>
  </si>
  <si>
    <t>Universidad Pablo de Olavide; Universidade de Vigo; Complutense University of Madrid</t>
  </si>
  <si>
    <t>Univ Pablo Olavide, Dept Ciencias Ambientales, Seville 41013, Spain.</t>
  </si>
  <si>
    <t>pribrod@dex.upo.es; dgalpuy@dex.upo.es; l.gimeno@uvigo.es; jfpc@uvigo.es; rgarcia@6000aire.fis.ucm.es; emiliano@6000aire.fis.ucm.es; ltr@uvigo.es; rnieto@uvigo.es; nataliac@fis.ucm.es</t>
  </si>
  <si>
    <t>GIMENO, LUIS/B-8137-2008; Gallego, David/F-4123-2016; Ribera, Pedro/K-4479-2014; Nieto, Raquel/AAT-8925-2020; Garcia-Herrera, Ricardo/ABE-4731-2020; de la Torre, Laura/Y-3723-2019</t>
  </si>
  <si>
    <t>Ribera, Pedro/0000-0002-6432-1554; Nieto, Raquel/0000-0002-8984-0959; de la Torre, Laura/0000-0001-5305-6946; GARCIA HERRERA, RICARDO FRANCISCO/0000-0002-3845-7458; GIMENO, LUIS/0000-0002-0778-3605; CALVO FERNANDEZ, NATALIA/0000-0001-6213-1864; Gallego Puyol, David/0000-0002-2082-4125</t>
  </si>
  <si>
    <t>0039-3169</t>
  </si>
  <si>
    <t>1573-1626</t>
  </si>
  <si>
    <t>STUD GEOPHYS GEOD</t>
  </si>
  <si>
    <t>Stud. Geophys. Geod.</t>
  </si>
  <si>
    <t>10.1023/B:SGEG.0000020841.53546.39</t>
  </si>
  <si>
    <t>Geochemistry &amp; Geophysics</t>
  </si>
  <si>
    <t>806AJ</t>
  </si>
  <si>
    <t>WOS:000220406500008</t>
  </si>
  <si>
    <t>Sanmartín, I; Ronquist, F</t>
  </si>
  <si>
    <t>Southern Hemisphere biogeography inferred by event-based models:: Plant versus animal patterns</t>
  </si>
  <si>
    <t>SYSTEMATIC BIOLOGY</t>
  </si>
  <si>
    <t>Review</t>
  </si>
  <si>
    <t>concordant dispersal; Gondwana; historical biogeography; parsimony-based tree fitting; Southern Hemisphere; vicariant history; West-Wind Drift</t>
  </si>
  <si>
    <t>NEW-ZEALAND; HISTORICAL BIOGEOGRAPHY; MOLECULAR PHYLOGENETICS; CLADISTIC-ANALYSIS; GENOME SEQUENCES; DNA-SEQUENCES; VICARIANCE; EVOLUTION; DISPERSAL; GENUS</t>
  </si>
  <si>
    <t>The Southern Hemisphere has traditionally been considered as having a fundamentally vicariant history. The common trans-Pacific disjunctions are usually explained by the sequential breakup of the supercontinent Gondwana during the last 165 million years, causing successive division of an ancestral biota. However, recent biogeographic studies, based on molecular estimates and more accurate paleogeographic reconstructions, indicate that dispersal may have been more important than traditionally assumed. We examined the relative roles played by vicariance and dispersal in shaping Southern Hemisphere biotas by analyzing a large data set of 54 animal and 19 plant phylogenies, including marsupials, ratites, and southern beeches ( 1,393 terminals). Parsimony-based tree fitting in conjunction with permutation tests was used to examine to what extent Southern Hemisphere biogeographic patterns fit the breakup sequence of Gondwana and to identify concordant dispersal patterns. Consistent with other studies, the animal data are congruent with the geological sequence of Gondwana breakup: ( Africa( New Zealand( southern South America, Australia))). Trans-Antarctic dispersal ( Australia. southern South America) is also significantly more frequent than any other dispersal event in animals, which may be explained by the long period of geological contact between Australia and South America via Antarctica. In contrast, the dominant pattern in plants, ( southern South America( Australia, New Zealand)), is better explained by dispersal, particularly the prevalence of trans-Tasman dispersal between New Zealand and Australia. Our results also confirm the hybrid origin of the South American biota: there has been surprisingly little biotic exchange between the northern tropical and the southern temperate regions of South America, especially for animals.</t>
  </si>
  <si>
    <t>Evolutionary Biol Ctr, Dept Systemat Zool, SE-75236 Uppsala, Sweden</t>
  </si>
  <si>
    <t>Evolutionary Biol Ctr, Dept Systemat Zool, Norbyvagen 18D, SE-75236 Uppsala, Sweden.</t>
  </si>
  <si>
    <t>isabel.sanmartin@ebc.uu.se</t>
  </si>
  <si>
    <t>Ronquist, Fredrik/Q-2013-2015; Sanmartin, Isabel/G-3131-2015</t>
  </si>
  <si>
    <t>Ronquist, Fredrik/0000-0002-3929-251X; Sanmartin, Isabel/0000-0001-6104-9658</t>
  </si>
  <si>
    <t>OXFORD UNIV PRESS</t>
  </si>
  <si>
    <t>GREAT CLARENDON ST, OXFORD OX2 6DP, ENGLAND</t>
  </si>
  <si>
    <t>1063-5157</t>
  </si>
  <si>
    <t>1076-836X</t>
  </si>
  <si>
    <t>SYST BIOL</t>
  </si>
  <si>
    <t>Syst. Biol.</t>
  </si>
  <si>
    <t>10.1080/10635150490423430</t>
  </si>
  <si>
    <t>Evolutionary Biology</t>
  </si>
  <si>
    <t>811VX</t>
  </si>
  <si>
    <t>Green Submitted, Bronze</t>
  </si>
  <si>
    <t>WOS:000220800500003</t>
  </si>
  <si>
    <t>Adams, N</t>
  </si>
  <si>
    <t>Precipitation forecasting at high latitudes</t>
  </si>
  <si>
    <t>WEATHER AND FORECASTING</t>
  </si>
  <si>
    <t>MODEL</t>
  </si>
  <si>
    <t>Despite Antarctica being considered the driest continent on Earth, precipitation plays an important role in modulating activities, where reduced visibility in snow not only adversely affects flying operations but can also hinder ground transportation. Precipitation is also a fundamental component in the calculation of the Antarctic mass budget where the balance between precipitation, evaporation, and the outflow of ice through glacial calving and surface and basal melting defines whether the continental ice sheet is in equilibrium or not. In this paper precipitation data from a high-resolution, limited-area gridpoint model are presented, along with verification results and a discussion of how the model data may be used to assist in weather forecasting and climate analyses.</t>
  </si>
  <si>
    <t>Antarct CRC, Hobart, Tas 7001, Australia; Bur Meteorol, Hobart, Tas 7001, Australia</t>
  </si>
  <si>
    <t>Bureau of Meteorology - Australia</t>
  </si>
  <si>
    <t>Antarct CRC, GPO Box 252-80, Hobart, Tas 7001, Australia.</t>
  </si>
  <si>
    <t>neiladams@utas.edu.au</t>
  </si>
  <si>
    <t>AMER METEOROLOGICAL SOC</t>
  </si>
  <si>
    <t>BOSTON</t>
  </si>
  <si>
    <t>45 BEACON ST, BOSTON, MA 02108-3693 USA</t>
  </si>
  <si>
    <t>0882-8156</t>
  </si>
  <si>
    <t>1520-0434</t>
  </si>
  <si>
    <t>WEATHER FORECAST</t>
  </si>
  <si>
    <t>Weather Forecast.</t>
  </si>
  <si>
    <t>10.1175/1520-0434(2004)019&lt;0456:PFAHL&gt;2.0.CO;2</t>
  </si>
  <si>
    <t>807CV</t>
  </si>
  <si>
    <t>hybrid</t>
  </si>
  <si>
    <t>WOS:000220480500019</t>
  </si>
  <si>
    <t>Bradford-Grieve, JM</t>
  </si>
  <si>
    <t>Deep-sea benthope agic calanoid copepods and their colonization of the near-bottom environment</t>
  </si>
  <si>
    <t>ZOOLOGICAL STUDIES</t>
  </si>
  <si>
    <t>Article; Proceedings Paper</t>
  </si>
  <si>
    <t>8th International Conference on Copepoda</t>
  </si>
  <si>
    <t>JUL 21-26, 2002</t>
  </si>
  <si>
    <t>Natl Taiwan Ocean Univ, Keelung, TAIWAN</t>
  </si>
  <si>
    <t>Natl Taiwan Ocean Univ</t>
  </si>
  <si>
    <t>arietelloidea; clausocalanoidea; palecenvironment; evolution; colonization</t>
  </si>
  <si>
    <t>SANTA-CATALINA BASIN; BOUNDARY-LAYER; NEW-ZEALAND; VERTICAL-DISTRIBUTION; NEOSCOLECITHRIX CANU; HYDROTHERMAL VENT; ANTARCTIC OCEAN; PACIFIC-OCEAN; MONTEREY BAY; LAPTEV-SEA</t>
  </si>
  <si>
    <t>Deep-sea benthopelagic calanoid copepods and their colonization of the near-bottom environment. Zoological Studies 43(2): 276-291. We are still in a discovery phase with respect to the deep-sea benthopelagic fauna and its ecology. New species are being described every year, and our knowledge of the physical and sedimentary environments of the benthic boundary layer is currently being extensively researched by a number of groups. Deep-sea, strictly benthopelagic copepod populations (composed mainly of Calanoida) differ in species composition from those in shallow and shelf waters and probably all represent reinvasions of the benthopelagic environment from the water column. The reasons for this difference are explored, including the possible evolutionary paths of organisms that live in this environment, and the physical conditions in which they live. Oxygen availability was probably a limiting environmental factor in geological time for benthopelagic calanoids. The low oxygen requirements and low weight-specific respiration rates of benthopelagic copepods are suggestive of a Permian reinvasion of the deep benthopelagic environment. That is, they were selected for low oxygen demand by the timing of their reinvasion of the deep benthopelagic environment. It is possible that these hypotheses may be testable using genetic information in the near future.</t>
  </si>
  <si>
    <t>Natl Inst Water &amp; Atmospher Res, Wellington 6001, New Zealand</t>
  </si>
  <si>
    <t>National Institute of Water &amp; Atmospheric Research (NIWA) - New Zealand</t>
  </si>
  <si>
    <t>Natl Inst Water &amp; Atmospher Res, POB 14901, Wellington 6001, New Zealand.</t>
  </si>
  <si>
    <t>j.grieve@niwa.co.nz</t>
  </si>
  <si>
    <t>Bradford-Grieve, Janet/0000-0002-3580-1217</t>
  </si>
  <si>
    <t>BIODIVERSITY RESEARCH CENTER, ACAD SINICA</t>
  </si>
  <si>
    <t>TAIPEI</t>
  </si>
  <si>
    <t>128 ACADEMIA RODA, SECTION 2, NANKANG, TAIPEI, 11529, TAIWAN</t>
  </si>
  <si>
    <t>1021-5506</t>
  </si>
  <si>
    <t>1810-522X</t>
  </si>
  <si>
    <t>ZOOL STUD</t>
  </si>
  <si>
    <t>Zool. Stud.</t>
  </si>
  <si>
    <t>Zoology</t>
  </si>
  <si>
    <t>Science Citation Index Expanded (SCI-EXPANDED); Conference Proceedings Citation Index - Science (CPCI-S)</t>
  </si>
  <si>
    <t>840JB</t>
  </si>
  <si>
    <t>WOS:000222853500014</t>
  </si>
  <si>
    <t>Krasnov, YV; Gavrilo, MV; Chernook, VI</t>
  </si>
  <si>
    <t>Distribution patterns of birds over the Pechora Sea area according to aerial survey data</t>
  </si>
  <si>
    <t>ZOOLOGICHESKY ZHURNAL</t>
  </si>
  <si>
    <t>Russian</t>
  </si>
  <si>
    <t>The results of the aerial survey carried out in the Pechora Sea using AN-26BRL aircraft during 1997-1999 are presented. Twenty-three species of seabirds and waterfowl were recorded for the observation period, when the maximal water area was free of ice. The core species were seaducks with the dominance of the king eider and the black scoter. The overwhelming majority of the waterfowl occurs in the Pechora Sea while gathering and molting during migration. The native regional fauna of seabirds is poor and mainly represented by larids. In the northern part of the sea, there are significant food grounds for the Brunnich's guillemots from colonies of the Novaya Zemlya. The avifauna in the Pechora Sea is characterized by high aggregations and their stable localization. The data on the density of the bird distribution in different parts of the area observed are given in tables. A map of mass concentrations of colonial seabirds, sea ducks, and swans in the Pechora Sea is given. Environmental factors affecting the formation of seasonal bird aggregations in the Pechora Sea are discussed, as well as the problems of marine bird conservation related to the development of oil extraction industry in the region.</t>
  </si>
  <si>
    <t>Russian Acad Sci, Kola Sci Ctr, Murmansk Marine Biol Inst, Murmansk 183002, Russia; Knipovich Polar Res Inst Marine Fisheries &amp; Ocean, Murmansk 183763, Russia; Arctic &amp; Antarctic Res Inst, St Petersburg 199397, Russia</t>
  </si>
  <si>
    <t>Russian Academy of Sciences; Kola Science Centre of the Russian Academy of Sciences; Research lnstitute of Fisheries &amp; Oceanography; Arctic &amp; Antarctic Research Institute</t>
  </si>
  <si>
    <t>Krasnov, YV (corresponding author), Russian Acad Sci, Kola Sci Ctr, Murmansk Marine Biol Inst, Murmansk 183002, Russia.</t>
  </si>
  <si>
    <t>natasha@andy.phys.msu.su</t>
  </si>
  <si>
    <t>Krasnov, Yuri V/H-1581-2016; Gavrilo, Maria V/R-7091-2016</t>
  </si>
  <si>
    <t>Gavrilo, Maria V/0000-0002-3500-9617</t>
  </si>
  <si>
    <t>MAIK NAUKA-INTERPERIODICA PUBL</t>
  </si>
  <si>
    <t>MOSCOW</t>
  </si>
  <si>
    <t>GSP-1, MARONOVSKII PER 26, MOSCOW, 119049, RUSSIA</t>
  </si>
  <si>
    <t>0044-5134</t>
  </si>
  <si>
    <t>ZOOL ZH</t>
  </si>
  <si>
    <t>Zool. Zhurnal</t>
  </si>
  <si>
    <t>822ID</t>
  </si>
  <si>
    <t>WOS:000221531600008</t>
  </si>
  <si>
    <t>Varela, DE; Pride, CJ; Brzezinski, MA</t>
  </si>
  <si>
    <t>Biological fractionation of silicon isotopes in Southern Ocean surface waters</t>
  </si>
  <si>
    <t>GLOBAL BIOGEOCHEMICAL CYCLES</t>
  </si>
  <si>
    <t>diatoms; isotopic fractionation; silicon</t>
  </si>
  <si>
    <t>BIOGENIC PARTICLE-FLUX; GULF-OF-CALIFORNIA; POLAR FRONTAL ZONE; PACIFIC SECTOR; ATMOSPHERIC CO2; STABLE-ISOTOPES; MARINE DIATOMS; IRON; SI; ACID</t>
  </si>
  <si>
    <t>[1] The fractionation of silicon isotopes by diatoms during silicification (i.e., opaline cell wall formation) provides a new tool for paleoceanographic studies of the silicon cycle. Here we examine the natural variations of the (30)Si: (28)Si ratio in silicic acid (Si(OH)(4)) and biogenic silica (bSiO(2)) in surface waters of the Antarctic Circumpolar Current (ACC) along 170 degreesW. The results provide direct evidence of biologically mediated fractionation of silicon isotopes, with an enrichment factor (epsilon) of between - 1.1 and - 1.9parts per thousand, depending on the model employed. Comparison of the mass flux of bSiO(2) captured in sediment traps deployed in the study area with the silicon isotopic composition of that material establishes a direct linkage between diatom dynamics in surface waters and the isotopic signature of exported particles. We calculated Si(OH)(4): NO(3)(-) utilization ratios from variations in silicon and nitrogen isotopic ratios in surface waters and sediment traps that agree well with direct observations of 4: 1 in this region. This work supports the use of variations in silicon isotopes in sedimentary opal as a proxy for relative Si(OH)(4) utilization in surface waters.</t>
  </si>
  <si>
    <t>Univ Calif Santa Barbara, Inst Marine Sci, Santa Barbara, CA 93106 USA; Univ Calif Santa Barbara, Dept Ecol Evolut &amp; Marine Biol, Santa Barbara, CA 93106 USA</t>
  </si>
  <si>
    <t>University of California System; University of California Santa Barbara; University of California System; University of California Santa Barbara</t>
  </si>
  <si>
    <t>Varela, DE (corresponding author), Univ Victoria, Dept Biol, POB 1700, Victoria, BC V8W 2Y2, Canada.</t>
  </si>
  <si>
    <t>AMER GEOPHYSICAL UNION</t>
  </si>
  <si>
    <t>WASHINGTON</t>
  </si>
  <si>
    <t>2000 FLORIDA AVE NW, WASHINGTON, DC 20009 USA</t>
  </si>
  <si>
    <t>0886-6236</t>
  </si>
  <si>
    <t>GLOBAL BIOGEOCHEM CY</t>
  </si>
  <si>
    <t>Glob. Biogeochem. Cycle</t>
  </si>
  <si>
    <t>MAR 31</t>
  </si>
  <si>
    <t>GB1047</t>
  </si>
  <si>
    <t>10.1029/2003GB002140</t>
  </si>
  <si>
    <t>Environmental Sciences; Geosciences, Multidisciplinary; Meteorology &amp; Atmospheric Sciences</t>
  </si>
  <si>
    <t>Environmental Sciences &amp; Ecology; Geology; Meteorology &amp; Atmospheric Sciences</t>
  </si>
  <si>
    <t>811AG</t>
  </si>
  <si>
    <t>WOS:000220744200002</t>
  </si>
  <si>
    <t>Yagova, NV; Pilipenko, VA; Lanzerotti, LJ; Engebretson, MJ; Rodger, AS; Lepidi, S; Papitashvili, VO</t>
  </si>
  <si>
    <t>Two-dimensional structure of long-period pulsations at polar latitudes in Antarctica</t>
  </si>
  <si>
    <t>JOURNAL OF GEOPHYSICAL RESEARCH-SPACE PHYSICS</t>
  </si>
  <si>
    <t>ULF waves; polar cap; cusp; magnetotail</t>
  </si>
  <si>
    <t>INTERPLANETARY MAGNETIC-FIELD; BOUNDARY-LAYER; PLASMA SHEET; CUSP; CAP; MAGNETOSPHERE; PRECIPITATION; MODULATION; CONVECTION; WAVES</t>
  </si>
  <si>
    <t>Two-dimensional (2-D) statistical distributions of spectral power and coherence of polar geomagnetic variations with quasi-periods about 10 min are analyzed using data from magnetometer arrays in Antarctica. Examination of the 2-D patterns of spectral power and coherence shows the occurrence of significant variations in geomagnetic power levels but with low spatial coherence near the cusp projection and in the auroral region. At the same time, low-amplitude pulsations, which we coin Pi(cap)3 pulsations, are very coherent throughout the polar cap. The region occupied by coherent Pi(cap)3 pulsations is shifted toward local MLT night from the geomagnetic pole and is decoupled from the regions of auroral and cusp ULF activity. The spectral power varies with time at polar latitudes in a manner different from that at auroral latitudes. Diurnal variations of power at different stations at the same geomagnetic latitude exhibit different behavior depending on the station's position relative to geomagnetic and geographic poles. This asymmetry is shown to be partly attributed to the variations of the ionospheric conductance. The primary source of polar pulsations is probably related to intermittent magnetosheath turbulence and tail lobe oscillations, though a particular propagation mechanism has not as yet been identified.</t>
  </si>
  <si>
    <t>Inst Phys Earth, Moscow 123995, Russia; Bell Labs, Lucent Technol, Murray Hill, NJ 07974 USA; New Jersey Inst Technol, Dept Phys, Newark, NJ 07102 USA; Augsburg Coll, Dept Phys, Minneapolis, MN 55454 USA; British Antarctic Survey, Cambridge CB3 OET, England; Ist Nazl Geofis &amp; Vulcanol, I-67100 Laquila, Italy; Univ Michigan, Dept Atmospher Ocean &amp; Space Sci, Ann Arbor, MI 48109 USA</t>
  </si>
  <si>
    <t>Russian Academy of Sciences; Schmidt Institute of Physics of the Earth of the Russian Academy of Sciences; AT&amp;T; Alcatel-Lucent; Lucent Technologies; New Jersey Institute of Technology; Augsburg University; UK Research &amp; Innovation (UKRI); Natural Environment Research Council (NERC); NERC British Antarctic Survey; Istituto Nazionale Geofisica e Vulcanologia (INGV); University of Michigan System; University of Michigan</t>
  </si>
  <si>
    <t>Inst Phys Earth, Moscow 123995, Russia.</t>
  </si>
  <si>
    <t>nyagova@uipe-ras.scgis.ru; pilipenk@augsburg.edu; ljl@lucent.com; engebret@augsburg.edu; a.rodger@bas.ac.uk; lepidi@ingv.it; papita@umich.edu</t>
  </si>
  <si>
    <t>Yagova, Nadezda/AAF-8102-2019; Yagova, Nadezda/AAZ-5025-2020</t>
  </si>
  <si>
    <t>Yagova, Nadezda/0000-0003-0678-8743; Papitashvili, Vladimir/0000-0001-6955-4894</t>
  </si>
  <si>
    <t>2169-9380</t>
  </si>
  <si>
    <t>2169-9402</t>
  </si>
  <si>
    <t>J GEOPHYS RES-SPACE</t>
  </si>
  <si>
    <t>J. Geophys. Res-Space Phys.</t>
  </si>
  <si>
    <t>A3</t>
  </si>
  <si>
    <t>A03222</t>
  </si>
  <si>
    <t>10.1029/2003JA010166</t>
  </si>
  <si>
    <t>Astronomy &amp; Astrophysics</t>
  </si>
  <si>
    <t>811AY</t>
  </si>
  <si>
    <t>Bronze, Green Published</t>
  </si>
  <si>
    <t>WOS:000220746000001</t>
  </si>
  <si>
    <t>Harasewych, MG; Kantor, YI</t>
  </si>
  <si>
    <t>The deep-sea Buccinoidea (Gastropoda: Neogastropoda) of the Scotia Sea and adjacent abyssal plains and trenches</t>
  </si>
  <si>
    <t>NAUTILUS</t>
  </si>
  <si>
    <t>GENUS</t>
  </si>
  <si>
    <t>Four new genera and species of buccinoidean gastropods, Spikebuccinum stephaniae new genus, new species; Drepanodontus tatyanae new genus, new species; Muffinbuccinum catherinae new genus, new species; and Germonea cacherinae new genus, new species, are described from the Scotia tectonic plate and adjacent abyssal plains. Only Bathydomus obtectus Thiele, 1912, Tromina bella abyssicola Clarke, 1961. and T. abyssorum Lus, 1993, had previously been reported from abyssal depths off Antarctica. The latter two species were proposed in the genus Tromina, subsequently shown to belong to the family Muricidae. Therefore, a new genus, Lusitromina is proposed for these abyssal and hadal buccinoidean species. Analyses of the taxonomic placement, geographical and bathymetric distribution, and diversity of the 29 buccinoidean genera presently known from Antarctica and the Magellanic Province have shown that the abyssal (&gt;2200 m) buccinoidean fauna of the region shares no genera with the sublittoral or bathyal faunas. None of the six abyssal genera conform readily to the subfamilies represented by the sublittoral or bathyal faunas. Credible sister taxa and likely origins for some abyssal genera occur on the adjacent continental slope. For others, closest relatives may be found on abyssal plains beyond the Antarctic Convergence. Generic diversity decreases with increasing depth for both the bathyal and abyssal buccinoidean faunas, while bathymetric range tends to increase. For abyssal buccinoideans, maximum generic diversity occurs between 2600 and 3200 meters. The proportion of monotypic genera in the Antarctic and Magellanic Provinces is extraordinarily high (48.3%), and may be an artefact of low sampling density exacerbated by difficulties in differentiating closely related species. Neither gigantism nor dwarfism is evident in the abyssal buccinoidean fauna. Rather, the range in sizes narrows with increasing depth. Genera inhabiting the base of the continental slope are smaller than those of either the tipper slope or continental rise. In the abyssal zone, maximum shell size is reached near the boundary of the continental rise and abyssal plain, and subsequently decreases with increasing depth.</t>
  </si>
  <si>
    <t>Natl Museum Nat Hist, Smithsonian Inst, Dept Systemat Biol, Washington, DC 20013 USA; Russian Acad Sci, Severtzov Inst, Moscow 117071, Russia</t>
  </si>
  <si>
    <t>Smithsonian Institution; Smithsonian National Museum of Natural History; Russian Academy of Sciences; Saratov Scientific Center of the Russian Academy of Sciences; Severtsov Institute of Ecology &amp; Evolution</t>
  </si>
  <si>
    <t>Natl Museum Nat Hist, Smithsonian Inst, Dept Systemat Biol, Washington, DC 20013 USA.</t>
  </si>
  <si>
    <t>Kantor, Yuri/D-5259-2014; Kantor, Yuri/HKW-8238-2023</t>
  </si>
  <si>
    <t>Kantor, Yuri/0000-0002-3209-4940; Kantor, Yuri/0000-0002-3209-4940</t>
  </si>
  <si>
    <t>BAILEY-MATTHEWS SHELL MUSEUM</t>
  </si>
  <si>
    <t>SANIBEL</t>
  </si>
  <si>
    <t>C/O DR JOSE H LEAL, ASSOCIATE/MANAGING EDITOR, 3075 SANIBEL-CAPTIVA RD, SANIBEL, FL 33957 USA</t>
  </si>
  <si>
    <t>0028-1344</t>
  </si>
  <si>
    <t>Nautilus</t>
  </si>
  <si>
    <t>Marine &amp; Freshwater Biology; Zoology</t>
  </si>
  <si>
    <t>838LW</t>
  </si>
  <si>
    <t>WOS:000222715800001</t>
  </si>
  <si>
    <t>Legrand, M; Preunkert, S; Jourdain, B; Aumont, B</t>
  </si>
  <si>
    <t>Year-round records of gas and particulate formic and acetic acids in the boundary layer at Dumont d'Urville, coastal Antarctica</t>
  </si>
  <si>
    <t>JOURNAL OF GEOPHYSICAL RESEARCH-ATMOSPHERES</t>
  </si>
  <si>
    <t>carboxylic acids; Antarctica; marine biogenic emission</t>
  </si>
  <si>
    <t>VOLATILE ORGANIC-COMPOUNDS; SALT SULFATE AEROSOLS; CARBOXYLIC-ACIDS; ATMOSPHERIC DIMETHYLSULFIDE; AMBIENT AIR; TROPOSPHERE; HYDROCARBONS; CHEMISTRY; PHASE; OCEAN</t>
  </si>
  <si>
    <t>[1] Multiple year-round levels of acetate and formate in gas and aerosol phases were investigated at Dumont d'Urville (DDU, a coastal Antarctic site) by using mist chamber and aerosol filter sampling. Formate and acetate aerosol levels range from &lt; 0.5 ppt in winter to 3 ppt in summer. With corresponding gas phase levels of more than a hundred of pptv, formic and acetic acids are mainly (99%) present in the gas phase, representing the 2 major acidic gases before inorganic species (HCl, HNO3 and SO2) there. Mixing ratios of formic acid are minimal from May to August ( 70 pptv) and increase regularly toward November - February months when levels reach similar to 200 pptv. Mixing ratios of acetic acid exhibit a more well-marked seasonal cycle with values remaining close to 70 pptv from April to October and strongly increase during November - February months ( mean value of 400 pptv). These seasonal changes suggest that the 2 carboxylic acids mainly originate from biogenic emissions of the Antarctic ocean whose variations follow the annual cycle of sea ice extent and solar radiation via photochemical production of alkenes from dissolved organic carbon released by phytoplankton. In summer, acetic acid levels show daily variations with maxima at noon and minima at night whereas formic acid levels peaks later in the afternoon. These dial variations in summer suggest that carboxylic acids are rapidly produced during the day and lost at night due to dry deposition on wet surface. It is suggested that the reactions of peroxy acetyl radical produced from propene with HO2 and CH3O2 in these poor NOx environments represent in summer the dominant chemical mechanisms producing acetic acid whereas ozone-alkene reactions remain of minor importance at that season. Neither ozone-alkene reactions nor aqueous phase HCHO oxidation can explain the summer levels of formic acid. In winter the long range transport of alkenes emitted at more temperate oceanic regions and reactions with ozone could account for the observed level of formic acid and possibly of acetic acid.</t>
  </si>
  <si>
    <t>CNRS, Lab Glaciol &amp; Geophys Environm, F-38402 St Martin Dheres, France; Univ Paris 07, Lab Interuniv Syst Atmospher, F-94010 Creteil, France; Univ Paris 12, Lab Interuniv Syst Atmospher, F-94010 Creteil, France</t>
  </si>
  <si>
    <t>Centre National de la Recherche Scientifique (CNRS); Universite Paris-Est-Creteil-Val-de-Marne (UPEC); Universite Paris Cite; Universite Paris Cite; Universite Paris-Est-Creteil-Val-de-Marne (UPEC)</t>
  </si>
  <si>
    <t>CNRS, Lab Glaciol &amp; Geophys Environm, BP 96, F-38402 St Martin Dheres, France.</t>
  </si>
  <si>
    <t>mimi@glaciog.ujf-grenoble.fr</t>
  </si>
  <si>
    <t>Legrand, Michel/AAU-4678-2020</t>
  </si>
  <si>
    <t>Aumont, Bernard/0000-0002-2781-0877</t>
  </si>
  <si>
    <t>2169-897X</t>
  </si>
  <si>
    <t>2169-8996</t>
  </si>
  <si>
    <t>J GEOPHYS RES-ATMOS</t>
  </si>
  <si>
    <t>J. Geophys. Res.-Atmos.</t>
  </si>
  <si>
    <t>MAR 30</t>
  </si>
  <si>
    <t>D6</t>
  </si>
  <si>
    <t>D06313</t>
  </si>
  <si>
    <t>10.1029/2003JD003786</t>
  </si>
  <si>
    <t>811AI</t>
  </si>
  <si>
    <t>WOS:000220744400001</t>
  </si>
  <si>
    <t>Chattopadhyay, MK</t>
  </si>
  <si>
    <t>Antarctic bacteria in biofilm</t>
  </si>
  <si>
    <t>CURRENT SCIENCE</t>
  </si>
  <si>
    <t>Letter</t>
  </si>
  <si>
    <t>Ctr Cellular &amp; Mol Biol, Hyderabad 500007, Andhra Pradesh, India</t>
  </si>
  <si>
    <t>Council of Scientific &amp; Industrial Research (CSIR) - India; CSIR - Centre for Cellular &amp; Molecular Biology (CCMB)</t>
  </si>
  <si>
    <t>Chattopadhyay, MK (corresponding author), Ctr Cellular &amp; Mol Biol, Hyderabad 500007, Andhra Pradesh, India.</t>
  </si>
  <si>
    <t>mkc@ccmb.res.in</t>
  </si>
  <si>
    <t>CURRENT SCIENCE ASSN</t>
  </si>
  <si>
    <t>BANGALORE</t>
  </si>
  <si>
    <t>C V RAMAN AVENUE, PO BOX 8005, BANGALORE 560 080, INDIA</t>
  </si>
  <si>
    <t>0011-3891</t>
  </si>
  <si>
    <t>CURR SCI INDIA</t>
  </si>
  <si>
    <t>Curr. Sci.</t>
  </si>
  <si>
    <t>MAR 25</t>
  </si>
  <si>
    <t>Multidisciplinary Sciences</t>
  </si>
  <si>
    <t>Science &amp; Technology - Other Topics</t>
  </si>
  <si>
    <t>810JJ</t>
  </si>
  <si>
    <t>WOS:000220700300003</t>
  </si>
  <si>
    <t>Proshutinsky, A; Ashik, IM; Dvorkin, EN; Häkkinen, S; Krishfield, RA; Peltier, WR</t>
  </si>
  <si>
    <t>Secular sea level change in the Russian sector of the Arctic Ocean -: art. no. C03042</t>
  </si>
  <si>
    <t>JOURNAL OF GEOPHYSICAL RESEARCH-OCEANS</t>
  </si>
  <si>
    <t>Arctic; sea level rise; decadal variability; steric effects; inverted barometer effect; glacial isostatic adjustment</t>
  </si>
  <si>
    <t>GLACIAL ISOSTATIC-ADJUSTMENT; ICE-SHEET; VM2 MODEL; RISE; EARTH</t>
  </si>
  <si>
    <t>Sea level is a natural integral indicator of climate variability. It reflects changes in practically all dynamic and thermodynamic processes of terrestrial, oceanic, atmospheric, and cryospheric origin. The use of estimates of sea level rise as an indicator of climate change therefore incurs the difficulty that the inferred sea level change is the net result of many individual effects of environmental forcing. Since some of these effects may offset others, the cause of the sea level response to climate change remains somewhat uncertain. This paper is focused on an attempt to provide first-order answers to two questions, namely, what is the rate of sea level change in the Arctic Ocean, and furthermore, what is the role of each of the individual contributing factors to observed Arctic Ocean sea level change? In seeking answers to these questions we have discovered that during the period 1954-1989 the observed sea level over the Russian sector of the Arctic Ocean is rising at a rate of approximately 0.123 cm yr(-1) and that after correction for the process of glacial isostatic adjustment this rate is approximately 0.185 cm yr(-1). There are two major causes of this rise. The first is associated with the steric effect of ocean expansion. This effect is responsible for a contribution of approximately 0.064 cm yr(-1) to the total rate of rise (35%). The second most important factor is related to the ongoing decrease of sea level atmospheric pressure over the Arctic Ocean, which contributes 0.056 cm yr(-1), or approximately 30% of the net positive sea level trend. A third contribution to the sea level increase involves wind action and the increase of cyclonic winds over the Arctic Ocean, which leads to sea level rise at a rate of 0.018 cm yr(-1) or approximately 10% of the total. The combined effect of the sea level rise due to an increase of river runoff and the sea level fall due to a negative trend in precipitation minus evaporation over the ocean is close to 0. For the Russian sector of the Arctic Ocean it therefore appears that approximately 25% of the trend of 0.185 cm yr(-1), a contribution of 0.048 cm yr(-1), may be due to the effect of increasing Arctic Ocean mass.</t>
  </si>
  <si>
    <t>Woods Hole Oceanog Inst, Dept Phys Oceanog, Woods Hole, MA 02543 USA; Arctic &amp; Antarctic Res Inst, St Petersburg 199397, Russia; NASA, Goddard Space Flight Ctr, Greenbelt, MD 20771 USA; Univ Toronto, Dept Phys, Toronto, ON M5S 1A7, Canada</t>
  </si>
  <si>
    <t>Woods Hole Oceanographic Institution; Arctic &amp; Antarctic Research Institute; National Aeronautics &amp; Space Administration (NASA); NASA Goddard Space Flight Center; University of Toronto</t>
  </si>
  <si>
    <t>Proshutinsky, A (corresponding author), Woods Hole Oceanog Inst, Dept Phys Oceanog, MS 29,360 Woods Hole Rd, Woods Hole, MA 02543 USA.</t>
  </si>
  <si>
    <t>aproshutinsky@whoi.edu</t>
  </si>
  <si>
    <t>Peltier, William R./A-1102-2008; Hakkinen, Sirpa/E-1461-2012</t>
  </si>
  <si>
    <t>Proshutinsky, Andrey/0000-0003-3087-1934</t>
  </si>
  <si>
    <t>2169-9275</t>
  </si>
  <si>
    <t>2169-9291</t>
  </si>
  <si>
    <t>J GEOPHYS RES-OCEANS</t>
  </si>
  <si>
    <t>J. Geophys. Res.-Oceans</t>
  </si>
  <si>
    <t>C3</t>
  </si>
  <si>
    <t>C03042</t>
  </si>
  <si>
    <t>10.1029/2003JC002007</t>
  </si>
  <si>
    <t>Oceanography</t>
  </si>
  <si>
    <t>809FT</t>
  </si>
  <si>
    <t>Green Published</t>
  </si>
  <si>
    <t>WOS:000220623300002</t>
  </si>
  <si>
    <t>Morrison, J; Petzel, A; Dowd, F; Petzel, D</t>
  </si>
  <si>
    <t>Drinking rates and gill sodium pump affinity in Antarctic fish</t>
  </si>
  <si>
    <t>FASEB JOURNAL</t>
  </si>
  <si>
    <t>Experimental Biology 2004 Annual Meeting</t>
  </si>
  <si>
    <t>APR 17-21, 2004</t>
  </si>
  <si>
    <t>Washington, DC</t>
  </si>
  <si>
    <t>Creighton Univ, Omaha, NE 68178 USA; N High Sch, Omaha, NE 68178 USA; Creighton Univ, Omaha, NE 68178 USA</t>
  </si>
  <si>
    <t>Creighton University; Creighton University</t>
  </si>
  <si>
    <t>FEDERATION AMER SOC EXP BIOL</t>
  </si>
  <si>
    <t>BETHESDA</t>
  </si>
  <si>
    <t>9650 ROCKVILLE PIKE, BETHESDA, MD 20814-3998 USA</t>
  </si>
  <si>
    <t>0892-6638</t>
  </si>
  <si>
    <t>1530-6860</t>
  </si>
  <si>
    <t>FASEB J</t>
  </si>
  <si>
    <t>Faseb J.</t>
  </si>
  <si>
    <t>MAR 24</t>
  </si>
  <si>
    <t>S</t>
  </si>
  <si>
    <t>A1285</t>
  </si>
  <si>
    <t>Biochemistry &amp; Molecular Biology; Biology; Cell Biology</t>
  </si>
  <si>
    <t>Biochemistry &amp; Molecular Biology; Life Sciences &amp; Biomedicine - Other Topics; Cell Biology</t>
  </si>
  <si>
    <t>806ZB</t>
  </si>
  <si>
    <t>WOS:000220470702513</t>
  </si>
  <si>
    <t>Choboter, PF; Swaters, GE</t>
  </si>
  <si>
    <t>Shallow water modeling of Antarctic Bottom Water crossing the equator</t>
  </si>
  <si>
    <t>abyssal circulation; equator crossing currents; thermohaline circulation</t>
  </si>
  <si>
    <t>WESTERN BOUNDARY CURRENT; BRAZIL BASIN; CIRCULATION; TOPOGRAPHY; ATLANTIC; FLOW; INSTABILITY; TRANSPORT; DYNAMICS; OCEAN</t>
  </si>
  <si>
    <t>The dynamics of abyssal equator-crossing flows are examined by studying simplified models of the flow in the equatorial region in the context of reduced-gravity shallow water theory. A simple frictional geostrophic'' model for one-layer cross-equatorial flow is described, in which geostrophy is replaced at the equator by frictional flow down the pressure gradient. This model is compared via numerical simulations to the one-layer reduced-gravity shallow water model for flow over realistic equatorial Atlantic Ocean bottom topography. It is argued that nonlinear advection is important at key locations where it permits the current to flow against a pressure gradient, a mechanism absent in the frictional geostrophic model and one of the reasons this model predicts less cross-equatorial flow than the shallow water model under similar conditions. Simulations of the shallow water model with an annually varying mass source reproduce the correct amplitude of observed time variability of cross-equatorial flow. The time evolution of volume transport across specific locations suggests that mass is stored in an equatorial basin, which can reduce the amplitude of time dependence of fluid actually proceeding into the Northern Hemisphere as compared to the amount entering the equatorial basin. Observed time series of temperature data at the equator are shown to be consistent with this hypothesis.</t>
  </si>
  <si>
    <t>Oregon State Univ, Coll Ocean &amp; Atmospher Sci, Corvallis, OR 97331 USA; Univ Alberta, Dept Math &amp; Stat Sci, Edmonton, AB T6G 2G1, Canada</t>
  </si>
  <si>
    <t>Oregon State University; University of Alberta</t>
  </si>
  <si>
    <t>Oregon State Univ, Coll Ocean &amp; Atmospher Sci, 104 Ocean Adm Bldg, Corvallis, OR 97331 USA.</t>
  </si>
  <si>
    <t>pchobote@coas.oregonstate.edu; gordon.swaters@ualberta.ca</t>
  </si>
  <si>
    <t>Swaters, Gordon E./0000-0001-5229-8572; Choboter, Paul/0000-0002-5062-5856</t>
  </si>
  <si>
    <t>C03038</t>
  </si>
  <si>
    <t>10.1029/2003JC002048</t>
  </si>
  <si>
    <t>809FQ</t>
  </si>
  <si>
    <t>Bronze, Green Submitted</t>
  </si>
  <si>
    <t>WOS:000220623000004</t>
  </si>
  <si>
    <t>Maldonado, A; Barnolas, A; Bohoyo, F; Galindo-Zaldívar, J; Hernández-Molina, J; Lobo, F; Rodríguez-Fernández, J; Somoza, L; Vázquez, JT</t>
  </si>
  <si>
    <t>Contourite deposits in the central scotia sea:: the importance of the Antarctic circumpolar current and the Weddell gyre flows (vol 198, pg 187, 2003)</t>
  </si>
  <si>
    <t>PALAEOGEOGRAPHY PALAEOCLIMATOLOGY PALAEOECOLOGY</t>
  </si>
  <si>
    <t>Correction</t>
  </si>
  <si>
    <t>Univ Granada, Fac Ciencias, CSIC, Inst Andaluz Ciencias Tierra, Granada 18002, Spain; Inst Geol &amp; Minero Espana, Madrid 28003, Spain; Univ Granada, Dept Geodinam, E-18071 Granada, Spain; Univ Vigo, Dept Geociencias Marinas, Fac Ciencias Mar, Vigo 36200, Spain; Univ Algarve, CIACOMAR, P-8700311 Olhao, Portugal; Univ Cadiz, Fac Ciencias Mar, Puerto Real 11510, Cadiz, Spain</t>
  </si>
  <si>
    <t>Consejo Superior de Investigaciones Cientificas (CSIC); CSIC - Instituto Andaluz de Ciencias de la Tierra (IACT); University of Granada; University of Granada; Universidade de Vigo; Universidade do Algarve; Universidad de Cadiz</t>
  </si>
  <si>
    <t>Univ Granada, Fac Ciencias, CSIC, Inst Andaluz Ciencias Tierra, Granada 18002, Spain.</t>
  </si>
  <si>
    <t>amaldona@ugr.es</t>
  </si>
  <si>
    <t>Bohoyo, Fernando/C-1062-2011; Lobo, Francisco José/J-9836-2012; Bohoyo, Fernando/AAZ-5990-2021; Barnolas, Antonio/AAQ-6863-2021; Vazquez, Juan-Tomas/L-7796-2014; Somoza, Luis/C-1400-2010; Galindo-Zaldivar, Jesus/K-3640-2012; RODRIGUEZ-FERNANDEZ, JOSE/L-7077-2014</t>
  </si>
  <si>
    <t>Bohoyo, Fernando/0000-0002-1044-8816; Lobo, Francisco José/0000-0002-3294-7202; Bohoyo, Fernando/0000-0002-1044-8816; Barnolas, Antonio/0000-0002-4124-3426; Vazquez, Juan-Tomas/0000-0002-3747-4838; Somoza, Luis/0000-0001-5451-2288; Galindo-Zaldivar, Jesus/0000-0002-3493-2637; RODRIGUEZ-FERNANDEZ, JOSE/0000-0003-0349-9209</t>
  </si>
  <si>
    <t>ELSEVIER SCIENCE BV</t>
  </si>
  <si>
    <t>AMSTERDAM</t>
  </si>
  <si>
    <t>PO BOX 211, 1000 AE AMSTERDAM, NETHERLANDS</t>
  </si>
  <si>
    <t>0031-0182</t>
  </si>
  <si>
    <t>1872-616X</t>
  </si>
  <si>
    <t>PALAEOGEOGR PALAEOCL</t>
  </si>
  <si>
    <t>Paleogeogr. Paleoclimatol. Paleoecol.</t>
  </si>
  <si>
    <t>MAR 20</t>
  </si>
  <si>
    <t>1-2</t>
  </si>
  <si>
    <t>10.1016/j.palaeo.2003.12.003</t>
  </si>
  <si>
    <t>Geography, Physical; Geosciences, Multidisciplinary; Paleontology</t>
  </si>
  <si>
    <t>Physical Geography; Geology; Paleontology</t>
  </si>
  <si>
    <t>807XK</t>
  </si>
  <si>
    <t>Bronze</t>
  </si>
  <si>
    <t>WOS:000220534000010</t>
  </si>
  <si>
    <t>Luis, AJ; Pandey, PC</t>
  </si>
  <si>
    <t>Relationship between surface atmospheric convergence over Indian Ocean and Indian rainfall</t>
  </si>
  <si>
    <t>GEOPHYSICAL RESEARCH LETTERS</t>
  </si>
  <si>
    <t>SUMMER MONSOON; SEA</t>
  </si>
  <si>
    <t>[1] Atmospheric convergence regions over the tropical Indian Ocean have been mapped for the first time using 31 years of vector wind data. The convergence fields reveal that the energetic summer monsoon winds enhance convergence in the central Arabian Sea and in the eastern Bay of Bengal when compared with weak winter monsoon winds. The summer monsoon is also effective in spatial migration of convergence regions in both basins. Area-integrated convergence time series reveals an annual cycle with high amplitude during summer monsoon, which occurs in phase with Indian rainfall. The study explores the prospects of using the convergence as one of the predictors of Indian rainfall.</t>
  </si>
  <si>
    <t>Govt India, Polar Remote Sensing Div, Natl Ctr Antarctic &amp; Ocean REs, Vasco Da Gama 403804, Goa, India</t>
  </si>
  <si>
    <t>Ministry of Earth Sciences (MoES) - India; National Centre for Polar and Ocean Research (NCPOR)</t>
  </si>
  <si>
    <t>Luis, AJ (corresponding author), Govt India, Polar Remote Sensing Div, Natl Ctr Antarctic &amp; Ocean REs, Headland Sada, Vasco Da Gama 403804, Goa, India.</t>
  </si>
  <si>
    <t>alvluis@yahoo.com</t>
  </si>
  <si>
    <t>Luis, Dr Alvarinho J./0000-0002-3425-8048</t>
  </si>
  <si>
    <t>0094-8276</t>
  </si>
  <si>
    <t>1944-8007</t>
  </si>
  <si>
    <t>GEOPHYS RES LETT</t>
  </si>
  <si>
    <t>Geophys. Res. Lett.</t>
  </si>
  <si>
    <t>MAR 19</t>
  </si>
  <si>
    <t>L06208</t>
  </si>
  <si>
    <t>10.1029/2003GL019357</t>
  </si>
  <si>
    <t>Geosciences, Multidisciplinary</t>
  </si>
  <si>
    <t>Geology</t>
  </si>
  <si>
    <t>806MA</t>
  </si>
  <si>
    <t>WOS:000220436800007</t>
  </si>
  <si>
    <t>Friess, U; Hollwedel, J; König-Langlo, G; Wagner, T; Platt, U</t>
  </si>
  <si>
    <t>Dynamics and chemistry of tropospheric bromine explosion events in the Antarctic coastal region -: art. no. D06305</t>
  </si>
  <si>
    <t>BrO; halogens; Antarctica; boundary layer; ozone; polar; DOAS</t>
  </si>
  <si>
    <t>OPTICAL-ABSORPTION SPECTROSCOPY; OZONE DEPLETION EVENTS; ARCTIC BOUNDARY-LAYER; BRO CONCENTRATIONS; OXIDE; GOME; SKY; INSTRUMENT; NEUMAYER; MONOXIDE</t>
  </si>
  <si>
    <t>[1] We investigate chemistry and dynamics of bromine explosion events during Antarctic spring of 1999 and 2000 using ground-based differential optical absorption spectroscopy (DOAS) observations of BrO, surface ozone, and ozone sounding measurements performed at the German research station Neumayer, located at the coast of the Antarctic continent (70degrees 39'S, 8degrees15'W). BrO maps from the GOME satellite instrument show huge areas of elevated BrO above the sea ice around Antarctica, covering several thousand square kilometers. Although the Neumayer station is located at a distance of only 7 km to the coast, bromine-activated air masses are only detected by our ground-based DOAS instrument under particular meteorological conditions. We use trajectory calculations in high temporal and spatial resolution in combination with sea ice maps to determine the source of air masses arriving at Neumayer. A comparison of these model calculations with measurements is in very good agreement with the theory that reactive bromine is heterogeneously released by sea-salt surfaces: in the majority of cases, enhanced levels of BrO are observed whenever a part of the probed air masses was previously in contact with sea ice surfaces, while depletion of surface ozone occurs only if the air at ground comes from the ice covered ocean. After being uplifted by advection processes, bromine-activated and ozone-depleted air masses are sometimes observed at high altitudes (&gt;4000 m). This vertical transport of reactive bromine may have an impact on the free tropospheric ozone budget and on local climate in the Antarctic coastal region during springtime. BrO enhancements are usually accompanied by strong increases in light path (as detected by O-4) owing to multiple scattering on aerosols, supporting the assumption that sea-salt particles, on which BrO recycling can take place, are present at the observation site.</t>
  </si>
  <si>
    <t>Heidelberg Univ, Inst Umweltphys, D-69120 Heidelberg, Germany; Alfred Wegener Inst Polar &amp; Marine Res, D-27568 Bremerhaven, Germany</t>
  </si>
  <si>
    <t>Ruprecht Karls University Heidelberg; Helmholtz Association; Alfred Wegener Institute, Helmholtz Centre for Polar &amp; Marine Research</t>
  </si>
  <si>
    <t>Univ Leicester, Space Res Ctr, Leicester LE1 7RH, Leics, England.</t>
  </si>
  <si>
    <t>uf5@le.ac.uk; uf5@le.ac.uk</t>
  </si>
  <si>
    <t>Frieß, Udo/B-1696-2012; Konig-Langlo, Gert/K-5048-2012</t>
  </si>
  <si>
    <t>Konig-Langlo, Gert/0000-0002-6100-4107; Friess, Udo/0000-0001-7176-7936</t>
  </si>
  <si>
    <t>D06305</t>
  </si>
  <si>
    <t>10.1029/2003JD004133</t>
  </si>
  <si>
    <t>806MM</t>
  </si>
  <si>
    <t>WOS:000220438000005</t>
  </si>
  <si>
    <t>Orr, A; Cresswell, D; Marshall, GJ; Hunt, JCR; Sommeria, J; Wang, CG; Light, M</t>
  </si>
  <si>
    <t>A 'low-level' explanation for the recent large warming trend over the western Antarctic Peninsula involving blocked winds and changes in zonal circulation</t>
  </si>
  <si>
    <t>BELLINGSHAUSEN SEAS; CLIMATE VARIABILITY; OROGRAPHIC DRAG; ANNULAR MODE; TEMPERATURE; OSCILLATION; AMUNDSEN</t>
  </si>
  <si>
    <t>[1] We demonstrate a mechanism whereby the impact of stronger circumpolar westerly winds on the mountains of the Antarctic Peninsula contributes significantly to the enhanced warming trend observed over its western side in the last 50 years. Numerical and laboratory meteorological modelling demonstrate how, when westerly winds impinge on this side, warm air below the height (1.5-2.0 km) of the Peninsula is advected in a southerly direction. The strength of the annual mean westerly winds has increased by about 15-20% since the 1960s, while the modelling results indicate that contemporaneously the air advected to its western side originates from an increasingly northerly (and warmer) location. This gives rise to increased northerlies and a greater transport of warm air into this region. Consequently there is a reduction in the sea-ice extent, further amplifying the local warming. This 'low-level', orographic mechanism for the local climate trend is supported by observational evidence.</t>
  </si>
  <si>
    <t>UCL, Dept Space &amp; Climate Phys, Ctr Polar Observat &amp; Modelling, London WC1E 6BT, England; British Antarctic Survey, Cambridge CB3 0ET, England; CNRS, CORIOLIS, Lab Ecoulements Geophys &amp; Ind, Grenoble, France; Univ Reading, Dept Meteorol, Reading, Berks, England</t>
  </si>
  <si>
    <t>University of London; University College London; UK Research &amp; Innovation (UKRI); Natural Environment Research Council (NERC); NERC British Antarctic Survey; Communaute Universite Grenoble Alpes; Institut National Polytechnique de Grenoble; Universite Grenoble Alpes (UGA); Centre National de la Recherche Scientifique (CNRS); University of Reading</t>
  </si>
  <si>
    <t>UCL, Dept Space &amp; Climate Phys, Ctr Polar Observat &amp; Modelling, Gower St, London WC1E 6BT, England.</t>
  </si>
  <si>
    <t>ao@cpom.ucl.ac.uk</t>
  </si>
  <si>
    <t>Cresswell, Doug/0000-0001-8309-6068</t>
  </si>
  <si>
    <t>MAR 18</t>
  </si>
  <si>
    <t>L06204</t>
  </si>
  <si>
    <t>10.1029/2003GL019160</t>
  </si>
  <si>
    <t>806LY</t>
  </si>
  <si>
    <t>Green Submitted, Bronze, Green Published</t>
  </si>
  <si>
    <t>WOS:000220436600006</t>
  </si>
  <si>
    <t>Jabaud-Jan, A; Metzl, N; Brunet, C; Poisson, A; Schauer, B</t>
  </si>
  <si>
    <t>Interannual variability of the carbon dioxide system in the southern Indian Ocean (20°S-60°S):: The impact of a warm anomaly in austral summer 1998 -: art. no. GB1042</t>
  </si>
  <si>
    <t>air-sea CO2 fluxes; Southern Ocean; seasonal and interannual variabilities; warm anomaly</t>
  </si>
  <si>
    <t>TIME-SERIES STATION; FRACTIONATED PHYTOPLANKTON BIOMASS; DISSOLVED INORGANIC CARBON; SEA-SURFACE TEMPERATURE; AIR-SAMPLING-NETWORK; EQUATORIAL PACIFIC; EL-NINO; PARTIAL-PRESSURE; NORTH PACIFIC; KERGUELEN ISLANDS</t>
  </si>
  <si>
    <t>[1] The interannual variations of the carbon dioxide system and air-sea CO2 fluxes are analyzed in the southwestern Indian Ocean from both in situ (Ocean Indien Service d'Observations cruises in 1998 and 2000) and simulated oceanic CO2 fugacity f(CO2) dissolved inorganic carbon, total alkalinity, and nutrients. During austral summer of 1998, the ocean was warmer from 20degreesS to 60degreesS. In the Subtropical Zone (20degreesS-37degreesS), the warming, associated with the subtropical dipole pattern, creates an oceanic CO2 source around 2 mmol m(-2) d(-1) in January 1998 where all previous observations, included in 2000, indicated that this region was a small sink in summer. In the Sub-Antarctic and Polar Front Zones (37degreesS-50degreesS), the f(CO2) interannual signal is not clearly detected because of the complex coupling between the horizontal and vertical dynamics and the biological activity that creates very high mesoscale f(CO2) variability in each summer. For the austral region, south of the Polar Front, we observe large variability in the CO2 sources and sinks between summer 1998 and 2000. In the Seasonal Ice Zone (south of 58degreesS) the interannual variation of the CO2 flux was mainly controlled by a warmer ocean, from 1.1degreesC, in summer 1998 (CO2 source of 3.2 mmol m(-2) d(-1)) and an enhanced primary production occurring during summer 2000 (CO2 sink of -3.8 mmol m(-2) d(-1)). In the Permanent Open Ocean Zone (POOZ, latitude 50degreesS-57degreesS), despite the half-degree warmer sea surface in 1998, we observe lower f(CO2) (-15 muatm (1 atm = 10(5) x 1.01325 N m(-2)) on average) during this period, and consequently, we estimate a double of the oceanic CO2 sink in this region in 1998 than 2000, from -3.2 mmol m(-2) d(-1) in 1998 to -1.3 mmol m(-2) d(-1) in 2000. The strong oceanic CO2 sink in 1998 is associated with a dramatic decrease of nutrients (silicates less than 2 mumol kg(-1)). The enhanced biological activity in summer 1998, probably diatoms bloom, is also apparent in Sea-viewing Wide Field-of-view Sensor (SeaWiFS) chlorophyll a estimates. Using a one-dimensional biogeochemical model applied in the POOZ and SeaWIFS time series, we predict a stronger oceanic sink during summer season than the winter, which is contrary to previous studies. The model suggests that biological activity controls most of the sink anomaly in summer 1998 (for about 70%) and dominates the warming effect.</t>
  </si>
  <si>
    <t>Univ Paris 06, IPSL, LBCM, UMR 7094, F-75252 Paris 05, France</t>
  </si>
  <si>
    <t>Sorbonne Universite; Universite Paris Cite</t>
  </si>
  <si>
    <t>Univ Paris 06, IPSL, LBCM, UMR 7094, Case 134,4 Pl Jussieu,NULL, F-75252 Paris 05, France.</t>
  </si>
  <si>
    <t>jabaud@ccr.jussieu.fr</t>
  </si>
  <si>
    <t>metzl, nicolas/0000-0002-1165-1074</t>
  </si>
  <si>
    <t>1944-9224</t>
  </si>
  <si>
    <t>GB1042</t>
  </si>
  <si>
    <t>10.1029/2002GB002017</t>
  </si>
  <si>
    <t>806MJ</t>
  </si>
  <si>
    <t>WOS:000220437700001</t>
  </si>
  <si>
    <t>Goosse, H; Masson-Delmotte, V; Renssen, H; Delmotte, M; Fichefet, T; Morgan, V; van Ommen, T; Khim, BK; Stenni, B</t>
  </si>
  <si>
    <t>A late medieval warm period in the Southern Ocean as a delayed response to external forcing?</t>
  </si>
  <si>
    <t>CLIMATE-CHANGE; ICE CORE; LAW DOME; TEMPERATURES; PALEOCLIMATE; CIRCULATION; MILLENNIUM; ANTARCTICA; SIGNAL</t>
  </si>
  <si>
    <t>On the basis of long simulations performed with a three-dimensional climate model, we propose an interhemispheric climate lag mechanism, involving the long-term memory of deepwater masses. Warm anomalies, formed in the North Atlantic when warm conditions prevail at surface, are transported by the deep ocean circulation towards the Southern Ocean. There, the heat is released because of large scale upwelling, maintaining warm conditions and inducing a lagged response of about 150 years compared to the Northern Hemisphere. Model results and observations covering the first half of the second millenium suggest a delay between the temperature evolution in the Northern Hemisphere and in the Southern Ocean. The mechanism described here provides a reasonable hypothesis to explain such an interhemipsheric lag.</t>
  </si>
  <si>
    <t>Catholic Univ Louvain, Inst Astron &amp; Geophys G Lemaitre, B-1348 Louvain, Belgium; UMR CEA CNRS, IPSL, Lab Sci Climat &amp; Environm, Gif Sur Yvette, France; Pusan Natl Univ, Dept Marine Sci, Pusan 609735, South Korea; Dept Environm &amp; Heritage, Australian Antarctic Div, Hobart, Tas, Australia; Antarctic Climate &amp; Ecosyst CRC, Hobart, Tas, Australia; Vrije Univ Amsterdam, Fac Earth &amp; Life Sci, Amsterdam, Netherlands; Univ Trieste, Dipartimento Sci Geol Ambientali &amp; Marine, Trieste, Italy</t>
  </si>
  <si>
    <t>Universite Catholique Louvain; Universite Paris Cite; CEA; Centre National de la Recherche Scientifique (CNRS); Universite Paris Saclay; Pusan National University; Australian Antarctic Division; University of Tasmania; Vrije Universiteit Amsterdam; University of Trieste</t>
  </si>
  <si>
    <t>Catholic Univ Louvain, Inst Astron &amp; Geophys G Lemaitre, B-1348 Louvain, Belgium.</t>
  </si>
  <si>
    <t>hgs@astr.ucl.ac.be</t>
  </si>
  <si>
    <t>Masson-Delmotte, Valerie L/G-1995-2011; Renssen, Hans/C-9927-2010; van Ommen, Tas/B-5020-2012</t>
  </si>
  <si>
    <t>Masson-Delmotte, Valerie L/0000-0001-8296-381X; van Ommen, Tas/0000-0002-2463-1718; Stenni, Barbara/0000-0003-4950-3664</t>
  </si>
  <si>
    <t>MAR 17</t>
  </si>
  <si>
    <t>L06203</t>
  </si>
  <si>
    <t>10.1029/2003GL019140</t>
  </si>
  <si>
    <t>806LU</t>
  </si>
  <si>
    <t>Green Published, Bronze</t>
  </si>
  <si>
    <t>WOS:000220436200005</t>
  </si>
  <si>
    <t>Alvarez, M; Pérez, FF; Bryden, H; Ríos, AF</t>
  </si>
  <si>
    <t>Physical and biogeochemical transports structure in the North Atlantic subpolar gyre -: art. no. C03027</t>
  </si>
  <si>
    <t>subpolar North Atlantic; physical and biogeochemical transports; mixing analysis</t>
  </si>
  <si>
    <t>LABRADOR SEA-WATER; TOTAL GEOSTROPHIC CIRCULATION; ANTARCTIC INTERMEDIATE WATER; DENMARK STRAIT OVERFLOW; TOTAL INORGANIC CARBON; DEEP-WATER; ANTHROPOGENIC CO2; GENERAL-CIRCULATION; MEDITERRANEAN WATER; EASTERN BOUNDARY</t>
  </si>
  <si>
    <t>[1] Physical ( mass, heat, and salt) and biogeochemical (nutrients, oxygen, alkalinity, total inorganic carbon, and anthropogenic carbon) transports across the transoceanic World Ocean Circulation Experiment (WOCE) A25 section in the subpolar North Atlantic (4x line) obtained previously [Alvarez et al., 2002, 2003] are reanalyzed to describe their regional and vertical structure. The water mass distribution in the section is combined with the transport fields to provide the relative contribution from each water mass to the final transport values. The water mass circulation pattern across the section is discussed within the context of the basin-scale thermohaline circulation in the North Atlantic. Eastern North Atlantic Central, influenced Antarctic Intermediate, Mediterranean, and Subarctic Intermediate Waters flow northward with 10.3, 5.6, 1.7, and 2.9 Sv, respectively. The total flux of Lower Deep Water (LDW) across the section is 1 Sv northward. A portion of LDW flowing northward in the Iberian Basin recirculates southward within the eastern basin and about 0.7 Sv flow into the western North Atlantic. About 7 Sv of Labrador Seawater (LSW) from the Labrador Sea cross the 4x section within the North Atlantic Current, and 12 Sv of LSW from the Irminger Sea flow southward within the East Greenland Current. Denmark Strait Overflow Water flows over the western flank of the Irminger basin (1.5 Sv), and Iceland Scotland Overflow Water (ISOW) is mainly transported in the Charlie Gibbs Fracture Zone (6 Sv). ISOW remnants flow southward to the eastern basin, contributing to the eastern basin deep ventilation. LSW and the overflows transport C-ANT southward across the section. This southward C-ANT transport is overcome by the northward transport in upper layers; finally, C-ANT is injected into the subpolar gyre where it accumulates.</t>
  </si>
  <si>
    <t>CSIC, Inst Invest Marinas, Vigo 36208, Spain; Southampton Oceanog Ctr, Southampton SO14 3ZH, Hants, England</t>
  </si>
  <si>
    <t>Consejo Superior de Investigaciones Cientificas (CSIC); CSIC - Instituto de Investigaciones Marinas (IIM); NERC National Oceanography Centre; University of Southampton</t>
  </si>
  <si>
    <t>CSIC, Inst Invest Marinas, C Eduardo Cabello 6, Vigo 36208, Spain.</t>
  </si>
  <si>
    <t>malvarez@iim.csic.es</t>
  </si>
  <si>
    <t>Álvarez, Marta/D-4367-2009; Fernandez Perez, Fiz/B-9001-2011</t>
  </si>
  <si>
    <t>Álvarez, Marta/0000-0002-5075-9344; Fernandez Perez, Fiz/0000-0003-4836-8974; Bryden, Harry/0000-0002-8216-6359</t>
  </si>
  <si>
    <t>Natural Environment Research Council [soc010001] Funding Source: researchfish</t>
  </si>
  <si>
    <t>Natural Environment Research Council(UK Research &amp; Innovation (UKRI)Natural Environment Research Council (NERC))</t>
  </si>
  <si>
    <t>C03027</t>
  </si>
  <si>
    <t>10.1029/2003JC002015</t>
  </si>
  <si>
    <t>806MP</t>
  </si>
  <si>
    <t>WOS:000220438300004</t>
  </si>
  <si>
    <t>Smedsrud, LH; Jenkins, A</t>
  </si>
  <si>
    <t>Frazil ice formation in an ice shelf water plume</t>
  </si>
  <si>
    <t>frazil ice crystals; ice shelf water; marine ice</t>
  </si>
  <si>
    <t>FAST SEA-ICE; OCEAN INTERACTION; MCMURDO SOUND; WEDDELL SEA; MARINE ICE; RONNE; ANTARCTICA; BENEATH; MODEL; CRYSTALS</t>
  </si>
  <si>
    <t>[1] We present a model for the growth of frazil ice crystals and their accumulation as marine ice at the base of Antarctic ice shelves. The model describes the flow of buoyant water upward along the ice shelf base and includes the differential growth of a range of crystal sizes. Frazil ice formation starts when the rising plume becomes supercooled. Initially, the majority of crystals have a radius of similar to0.3 mm and concentrations are below 0.1 g/L. Depending on the ice shelf slope, which controls the plume speed, frazil crystals increase in size and number. Typically, crystals up to 1.0 mm in radius are kept in suspension, and concentrations reach a maximum of 0.4 g/L. The frazil ice in suspension decreases the plume density and thus increases the plume speed. Larger crystals precipitate upward onto the ice shelf base first, with smaller crystals following as the plume slows down. In this way, marine ice is formed at rates of up to 4 m/yr in some places, consistent with areas of observed basal accumulation on Filchner-Ronne Ice Shelf. The plume continues below the ice shelf as long as it is buoyant. If the plume reaches the ice front, its rapid rise produces high supercooling and the ice crystals attain a radius of several millimeters before reaching the surface. Similar ice crystals have been trawled at depth north of Antarctic ice shelves, but otherwise no observations exist to verify these first predictions of ice crystal sizes and volumes.</t>
  </si>
  <si>
    <t>British Antarctic Survey, Cambridge CB3 0ET, England</t>
  </si>
  <si>
    <t>Univ Bergen, Inst Geophys, Allegaten 70, N-5007 Bergen, Norway.</t>
  </si>
  <si>
    <t>larsh@gfi.uib.no; ajen@bas.ac.uk</t>
  </si>
  <si>
    <t>Jenkins, Adrian/IUN-2406-2023</t>
  </si>
  <si>
    <t>Jenkins, Adrian/0000-0002-9117-0616; Smedsrud, Lars H./0000-0001-7391-0740</t>
  </si>
  <si>
    <t>C03025</t>
  </si>
  <si>
    <t>10.1029/2003JC001851</t>
  </si>
  <si>
    <t>WOS:000220438300002</t>
  </si>
  <si>
    <t>Goldstein, SJ; Murrell, MI; Nishiizumi, K; Nunn, AJ</t>
  </si>
  <si>
    <t>Uranium-series chronology and cosmogenic 10Be-36Cl record of Antarctic ice</t>
  </si>
  <si>
    <t>CHEMICAL GEOLOGY</t>
  </si>
  <si>
    <t>uranium-series; cosmogenic nuclides; polar ice; Antarctica; geochronology; radium; mass spectrometry</t>
  </si>
  <si>
    <t>GREENLAND ICE; GEOLOGIC SAMPLES; ALLAN-HILLS; DEVILS-HOLE; CL-36; AGES; RATIOS; CORE; TH; METEORITES</t>
  </si>
  <si>
    <t>We present new uranium-series and cosmogenic nuclide age data obtained by sensitive thermal ionization and accelerator mass spectrometric techniques for samples of dusty polar ice from Allan Hills, Antarctica. These data are used to further evaluate the applicability of these nuclides for direct radiometric dating of polar ice. In order to minimize artifacts during sample processing we developed an improved method utilizing ethylenediaminetetraacetic acid (EDTA) to stabilize uranium-series nuclides dissolved in polar ice during ice melting and filtration. Our measurements revealed low uranium-series daughter abundances and large uranium-series (U-234/U-238, Th-230/U-234, Ra-226/Th-230, Pa-231/U-235) disequilibria in the filtered &lt;0.05-mum fraction of these ice samples. Both the long-lived uranium-series disequilibria and Be-10/Cl-36 ratios are most likely recently inherited from precipitation. The short-lived daughter Ra-226 is the exception and is enhanced in the &lt;0.05-mum fraction, presumably due to recoil effects from dust bands present in the ice. Based on a simplified recoil model, ice ages of approximately 30 ka are obtained from our data. Absence of measurable U-238-U-234-Th-230-Ra-226 disequilibria in the volcanic dust bands also suggests that ice ages are greater than 10 ka, consistent with recoil-based ages. Our relatively young ice ages can be compared with previously published relatively old terrestrial ages of meteorites from this area and suggests that meteorites at Allan Hills have experienced a multi-stage history of ice accumulation and/or ice flow. Our results also suggest that large uranium-series disequilibria can be inherited from precipitation, which may provide a method for dating clear ice samples. (C) 2004 Elsevier B.V. All rights reserved.</t>
  </si>
  <si>
    <t>Los Alamos Natl Lab, Isotope &amp; Nucl Chem Grp, Div Chem, Los Alamos, NM 87545 USA; Univ Calif Berkeley, Space Sci Lab, Berkeley, CA 94720 USA</t>
  </si>
  <si>
    <t>United States Department of Energy (DOE); Los Alamos National Laboratory; University of California System; University of California Berkeley</t>
  </si>
  <si>
    <t>Los Alamos Natl Lab, Isotope &amp; Nucl Chem Grp, Div Chem, MS J514, Los Alamos, NM 87545 USA.</t>
  </si>
  <si>
    <t>sgoldstein@lanl.gov</t>
  </si>
  <si>
    <t>Goldstein, Steven/AAB-8870-2019</t>
  </si>
  <si>
    <t>0009-2541</t>
  </si>
  <si>
    <t>1872-6836</t>
  </si>
  <si>
    <t>CHEM GEOL</t>
  </si>
  <si>
    <t>Chem. Geol.</t>
  </si>
  <si>
    <t>MAR 16</t>
  </si>
  <si>
    <t>10.1016/j.chemgeo.2003.11.016</t>
  </si>
  <si>
    <t>800IS</t>
  </si>
  <si>
    <t>WOS:000220022600007</t>
  </si>
  <si>
    <t>Kobayashi, R; Zhao, DP</t>
  </si>
  <si>
    <t>Rayleigh-wave group velocity distribution in the Antarctic region</t>
  </si>
  <si>
    <t>PHYSICS OF THE EARTH AND PLANETARY INTERIORS</t>
  </si>
  <si>
    <t>Antarctica; Rayleigh waves; group velocity; tomography</t>
  </si>
  <si>
    <t>STRUCTURE BENEATH ANTARCTICA; UPPER-MANTLE STRUCTURE; SEISMIC STRUCTURE; PHASE VELOCITIES; CRUSTAL; HOTSPOTS; ANISOTROPY; THICKNESS; ANOMALIES; PACIFIC</t>
  </si>
  <si>
    <t>We determined 2D group velocity distribution of Rayleigh waves at periods of 20-150 s in the Antarctic region using a tomographic inversion technique. The data are recorded by both permanent networks and temporary arrays. In East Antarctica the velocities are high at periods of 90-150 s, suggesting that the root of East Antarctica is very deep. The velocities in West Antarctica are low at all periods, which may be related to the volcanic activity and the West Antarctic Rift System. Low velocity anomalies appear at periods of 40-140 s along the Southeastern Indian Ridge and the western part of the Pacific Antarctic Ridge. The velocities are only slightly low around the Atlantic Indian Ridge, Southwestern Indian Ridge, and the eastern part of the Pacific Antarctic Ridge, where the spreading rates are small. Around two hotspots, the Mount Erebus and Balleny Islands, the velocity is low at periods of 50-150 s. (C) 2004 Elsevier B.V. All rights reserved.</t>
  </si>
  <si>
    <t>Ehime Univ, Geodynam Res Ctr, Matsuyama, Ehime 7908577, Japan</t>
  </si>
  <si>
    <t>Ehime University</t>
  </si>
  <si>
    <t>Kobayashi, R (corresponding author), Univ Tokyo, Earthquake Res Ctr, Tokyo 1130032, Japan.</t>
  </si>
  <si>
    <t>reiji@eri.u-tokyo.ac.jp; zhao@sci.ehime-u.ac.jp</t>
  </si>
  <si>
    <t>Zhao, Dapeng/0000-0003-2096-5195</t>
  </si>
  <si>
    <t>ELSEVIER</t>
  </si>
  <si>
    <t>RADARWEG 29, 1043 NX AMSTERDAM, NETHERLANDS</t>
  </si>
  <si>
    <t>0031-9201</t>
  </si>
  <si>
    <t>1872-7395</t>
  </si>
  <si>
    <t>PHYS EARTH PLANET IN</t>
  </si>
  <si>
    <t>Phys. Earth Planet. Inter.</t>
  </si>
  <si>
    <t>10.1016/j.pepi.2003.11.011</t>
  </si>
  <si>
    <t>806PJ</t>
  </si>
  <si>
    <t>WOS:000220445500003</t>
  </si>
  <si>
    <t>Licht, KJ</t>
  </si>
  <si>
    <t>The Ross Sea's contribution to eustatic sea level during meltwater pulse 1A</t>
  </si>
  <si>
    <t>SEDIMENTARY GEOLOGY</t>
  </si>
  <si>
    <t>sea level; Antarctica; meltwater; radiocarbon; Ross Sea</t>
  </si>
  <si>
    <t>LAST GLACIAL MAXIMUM; ANTARCTIC ICE-SHEET; PLEISTOCENE-HOLOCENE RETREAT; FINITE-ELEMENT MODEL; MARINE-SEDIMENTS; BIOGENIC SILICA; LATE WISCONSIN; HISTORY; DEGLACIATION; RADIOCARBON</t>
  </si>
  <si>
    <t>Radiocarbon dates obtained from Ross Sea sediments, combined with constraints on maximum ice extent based on sedimentological data and ice sheet modeling results, indicate that the Ross Embayment, Antarctica is unlikely to have been a substantial contributor to meltwater pulse (mwp) 1A at similar to 12.5 C-14 ka. The ice sheet in the Ross Embayment during the last glacial maximum is estimated to have contained ice volume equivalent to 3-6 m eustatic sea level rise and does not show evidence of rapid retreat. Grounded ice advance occurred during initial Late Pleistocene eustatic rise and ice sheet retreat began coeval with or subsequent to mwp-1A. Chronological and sedimentological data from the Ross Embayment indicate that deglaciation in this region has occurred throughout the Holocene and the maximum possible contribution of eustatic rise from the Ross Embayment is &lt;1 m sea level equivalent. (C) 2004 Elsevier B.V. All rights reserved.</t>
  </si>
  <si>
    <t>Indiana Univ Purdue Univ, Dept Geol, Indianapolis, IN 46202 USA</t>
  </si>
  <si>
    <t>Indiana University System; Indiana University-Purdue University Indianapolis</t>
  </si>
  <si>
    <t>Indiana Univ Purdue Univ, Dept Geol, Indianapolis, IN 46202 USA.</t>
  </si>
  <si>
    <t>klicht@iupui.edu</t>
  </si>
  <si>
    <t>Licht, Kathy/0000-0002-2233-2853</t>
  </si>
  <si>
    <t>0037-0738</t>
  </si>
  <si>
    <t>1879-0968</t>
  </si>
  <si>
    <t>SEDIMENT GEOL</t>
  </si>
  <si>
    <t>Sediment. Geol.</t>
  </si>
  <si>
    <t>MAR 15</t>
  </si>
  <si>
    <t>3-4</t>
  </si>
  <si>
    <t>10.1016/j.sedgeo.2003.11.020</t>
  </si>
  <si>
    <t>805VV</t>
  </si>
  <si>
    <t>WOS:000220394700009</t>
  </si>
  <si>
    <t>Harangozo, SA</t>
  </si>
  <si>
    <t>The relationship of Pacific deep tropical convection to the winter and springtime extratropical atmospheric circulation of the South Pacific in El Nino events</t>
  </si>
  <si>
    <t>HEMISPHERE CIRCULATION; AMERICAN MODES; FEATURES; PATTERNS; CLIMATE; WARM</t>
  </si>
  <si>
    <t>During some El Nino events Rossby wave trains (RWT) are observed to strongly modulate the seasonal atmospheric circulation of the South Pacific extratropics in the austral winter and spring. Here it is shown that seasonally intensified deep tropical convection is confined to the Pacific Intertropical Convergence Zone (ITCZ) close to the dateline in those events with strong RWT modulation but not in other cases. In other cases deep convection either withdraws from the ITCZ or the ITCZ strongly interacts with the South Pacific Convergence Zone (SPCZ) lying at 5-10degreesS. In both cases this points to a weakening of the local tropical Hadley circulation that may be crucial for Rossby wave generation. It is also found that the expected RWT response in the high latitudes can fail to occur even when SST in the central tropical Pacific are very high.</t>
  </si>
  <si>
    <t>Harangozo, SA (corresponding author), British Antarctic Survey, NERC, High Cross,Madingley Rd, Cambridge CB3 0ET, England.</t>
  </si>
  <si>
    <t>sah@pcmail.nbs.ac.uk</t>
  </si>
  <si>
    <t>MAR 13</t>
  </si>
  <si>
    <t>L05206</t>
  </si>
  <si>
    <t>10.1029/2003GL018667</t>
  </si>
  <si>
    <t>806KM</t>
  </si>
  <si>
    <t>WOS:000220432800002</t>
  </si>
  <si>
    <t>Sutherland, IW; Hughes, KA; Skillman, LC; Tait, K</t>
  </si>
  <si>
    <t>The interaction of phage and biofilms</t>
  </si>
  <si>
    <t>FEMS MICROBIOLOGY LETTERS</t>
  </si>
  <si>
    <t>biofilm; exopolysaccharide; lysis; phage; polysaccharase; virus</t>
  </si>
  <si>
    <t>LISTERIA-MONOCYTOGENES; BACTERIAL BIOFILMS; BACILLUS-SUBTILIS; HOST INTERACTIONS; BACTERIOPHAGE; INFECTION; EXOPOLYSACCHARIDES; SUSCEPTIBILITY; FLUORESCENT; VIRUSES</t>
  </si>
  <si>
    <t>Biofilms present complex assemblies of micro-organisms attached to surfaces. They are dynamic structures in which various metabolic activities and interactions between the component cells occur. When phage come in contact with biofilms, further interactions occur dependent on the susceptibility of the biofilm bacteria to phage and to the availability of receptor sites. If the phage also possess polysaccharide-degrading enzymes, or if considerable cell lysis is effected by the phage, the integrity of the biofilm may rapidly be destroyed. Alternatively, coexistence between phage and host bacteria within the biofilm may develop. Although phage have been proposed as a means of destroying or controlling biofilms, the technology for this has not yet been successfully developed. (C) 2004 Published by Elsevier B.V. on behalf of the Federation of European Microbiological Societies.</t>
  </si>
  <si>
    <t>Univ Edinburgh, Inst Cell &amp; Mol Biol, Edinburgh EH9 3JR, Midlothian, Scotland; British Antarctic Survey, Cambridge CB3 0ET, England; AgResearch, Palmerston North, New Zealand; Plymouth Marine Lab, Plymouth PL1 3DH, Devon, England</t>
  </si>
  <si>
    <t>University of Edinburgh; UK Research &amp; Innovation (UKRI); Natural Environment Research Council (NERC); NERC British Antarctic Survey; AgResearch - New Zealand; Plymouth Marine Laboratory</t>
  </si>
  <si>
    <t>Univ Edinburgh, Inst Cell &amp; Mol Biol, Mayfield Rd, Edinburgh EH9 3JR, Midlothian, Scotland.</t>
  </si>
  <si>
    <t>i.w.sutherland@ed.ac.uk</t>
  </si>
  <si>
    <t>Hughes, Kevin/JVZ-0793-2024</t>
  </si>
  <si>
    <t>Tait, Karen/0000-0001-8137-6998</t>
  </si>
  <si>
    <t>0378-1097</t>
  </si>
  <si>
    <t>1574-6968</t>
  </si>
  <si>
    <t>FEMS MICROBIOL LETT</t>
  </si>
  <si>
    <t>FEMS Microbiol. Lett.</t>
  </si>
  <si>
    <t>MAR 12</t>
  </si>
  <si>
    <t>10.1016/S0378-1097(04)00041-2</t>
  </si>
  <si>
    <t>Microbiology</t>
  </si>
  <si>
    <t>805DJ</t>
  </si>
  <si>
    <t>WOS:000220346700001</t>
  </si>
  <si>
    <t>Guerrero-Kommritz, J; Blazewicz-Paszkowycz, M</t>
  </si>
  <si>
    <t>New species of Tanaella Norman and Stebbing, 1886 (Crustacea: Tanaidacea: Tanaellidae) from the deep-sea off the Antarctic and the Angola Basin, with a key to the genus</t>
  </si>
  <si>
    <t>ZOOTAXA</t>
  </si>
  <si>
    <t>Tanaidacea; Tanaella; Angola basin; Antarctic; deep-sea</t>
  </si>
  <si>
    <t>Three new deep-sea species in the genus Tanaella are described: two from the Antarctic ( T. eltaninae sp. nov., T. kimi sp. nov.) and one from the Angola Basin ( T. profunda sp. nov.). This is the first record of Tanaella in the deep-sea of the Antarctic and the southern Atlantic Ocean. A key to the 13 known species of the genus is provided.</t>
  </si>
  <si>
    <t>Univ Hamburg, Inst Zool, D-20146 Hamburg, Germany; Museum Hamburg, D-20146 Hamburg, Germany; Univ Lodz, Dept Polar Biol &amp; Oceanobiol, PL-90237 Lodz, Poland</t>
  </si>
  <si>
    <t>University of Hamburg; University of Lodz</t>
  </si>
  <si>
    <t>Guerrero-Kommritz, J (corresponding author), Univ Hamburg, Inst Zool, D-20146 Hamburg, Germany.</t>
  </si>
  <si>
    <t>J.Guerrero.Kom-mritz@uni-hamburg.de; magdab@biol.uni.lodz.pl</t>
  </si>
  <si>
    <t>MAGNOLIA PRESS</t>
  </si>
  <si>
    <t>AUCKLAND</t>
  </si>
  <si>
    <t>PO BOX 41383, AUCKLAND, ST LUKES 1030, NEW ZEALAND</t>
  </si>
  <si>
    <t>1175-5326</t>
  </si>
  <si>
    <t>1175-5334</t>
  </si>
  <si>
    <t>Zootaxa</t>
  </si>
  <si>
    <t>867RV</t>
  </si>
  <si>
    <t>WOS:000224860800001</t>
  </si>
  <si>
    <t>Hindmarsh, RCA</t>
  </si>
  <si>
    <t>Thermoviscous stability of ice-sheet flows</t>
  </si>
  <si>
    <t>JOURNAL OF FLUID MECHANICS</t>
  </si>
  <si>
    <t>SELF-ORGANIZATION; INSTABILITY; GLACIERS; MODEL; CREEP</t>
  </si>
  <si>
    <t>The shallow-ice approximation is used to analyse the normal-mode stability of long-wavelength, thermally coupled, free-surface flows of glaciers and ice sheets along infinite flow sections. The viscosity of the ice changes with temperature, and the ice is also thermally coupled with the bedrock. An assumption of quasi-uniform flow, where the downstream flux of mass and energy is assumed to be constant over relatively short wavelengths, permits vertical advection due to accumulation to be considered. The assumption allows realistic representation of the vertical velocity distribution and temperature distributions within the modelled flow. Nevertheless, the linearized equations are formally independent of the assumption of quasi-uniform flow. The linearized equations are Fourier-transformed over the horizontal plane and an algebraic eigenvalue problem constructed which considers the Fourier-transforms of the vertically varying temperature and thickness. The dependence of the eigenvalues on wavenumber, both parallel and orthogonal to flow, accumulation rate, geothermal heat flux, surface temperature and slope is computed. Extensive linearly unstable regimes where the base is well below melting point are found, which correspond only approximately to negative slopes in the flux/thickness relationship (supercritical zones). The most unstable parts of these regimes have finite along-flow wavelength, and have very long transverse wavelength. These modes are found to be more unstable in two senses: (i) they bifurcate for lesser thicknesses; (ii) they have greater growth rates. All computed wave velocities of unstable modes were downslope. Less unstable modes with short and medium transverse wavelengths are found which excite the temperature field only. Time constants range between ten and one thousand years. There is no strong evidence for stream-pattern formation through a thermoviscous instability mechanism.</t>
  </si>
  <si>
    <t>Hindmarsh, Richard/N-1195-2019</t>
  </si>
  <si>
    <t>Hindmarsh, Richard/0000-0003-1633-2416</t>
  </si>
  <si>
    <t>0022-1120</t>
  </si>
  <si>
    <t>1469-7645</t>
  </si>
  <si>
    <t>J FLUID MECH</t>
  </si>
  <si>
    <t>J. Fluid Mech.</t>
  </si>
  <si>
    <t>MAR 10</t>
  </si>
  <si>
    <t>10.1017/S0022112003007390</t>
  </si>
  <si>
    <t>Mechanics; Physics, Fluids &amp; Plasmas</t>
  </si>
  <si>
    <t>Mechanics; Physics</t>
  </si>
  <si>
    <t>809NO</t>
  </si>
  <si>
    <t>WOS:000220643600002</t>
  </si>
  <si>
    <t>A numerical comparison of approximations to the Stokes equations used in ice sheet and glacier modeling</t>
  </si>
  <si>
    <t>JOURNAL OF GEOPHYSICAL RESEARCH-EARTH SURFACE</t>
  </si>
  <si>
    <t>ice sheets; mechanics; mathematical geophysics</t>
  </si>
  <si>
    <t>FLOW; SURFACE</t>
  </si>
  <si>
    <t>[1] A computational analysis of the accuracy of different approximations to the Stokes equations for momentum balance used in ice sheet modeling is performed by solving a particular tractable form of the equations appropriate for small perturbations of the ice surface, describing the uniform flow of ice with a Glen rheology on an infinitely long and broad section. The approximants comprise the shallow ice approximation and various schemes for incorporating longitudinal stresses and, in one case, the horizontal gradient of the horizontal plane shear stresses. The simplifications lead to a vertically one-dimensional numerical problem, whose solution can be computed rapidly. The relaxation rate of perturbations as well as other response descriptors for the stable full system and approximants are compared. Compared with the shallow ice approximation, the inclusion of longitudinal stresses increases accuracy at shorter wavelengths, but accuracy is poor at wavelengths around or less than the ice sheet thickness. Even though analysis shows that the horizontal gradients of the horizontal plane shear stresses are of similar magnitude to longitudinal stress effects, computations show, in agreement with glaciological belief, that longitudinal stress effects are more significant and need to be corrected for first in practice. Two schemes, a multilayer scheme and a one-layer scheme, are particularly good and should be investigated further in cases where perturbations from uniformity are large. Some other apparently plausible approximations introduce nonphysical instabilities. New schemes need to be assessed in the way described in this paper before being used in real ice sheet models.</t>
  </si>
  <si>
    <t>British Antarctic Survey, NERC, Div Phys Sci, Cambridge CB3 0ET, England</t>
  </si>
  <si>
    <t>British Antarctic Survey, NERC, Div Phys Sci, High Cross,Madingley Rd, Cambridge CB3 0ET, England.</t>
  </si>
  <si>
    <t>rcah@bas.ac.uk</t>
  </si>
  <si>
    <t>2169-9003</t>
  </si>
  <si>
    <t>2169-9011</t>
  </si>
  <si>
    <t>J GEOPHYS RES-EARTH</t>
  </si>
  <si>
    <t>J. Geophys. Res.-Earth Surf.</t>
  </si>
  <si>
    <t>F1</t>
  </si>
  <si>
    <t>F01012</t>
  </si>
  <si>
    <t>10.1029/2003JF000065</t>
  </si>
  <si>
    <t>863NL</t>
  </si>
  <si>
    <t>WOS:000224568500001</t>
  </si>
  <si>
    <t>van de Flierdt, T; Frank, M; Halliday, AN; Hein, JR; Hattendorf, B; Günther, D; Kubik, PW</t>
  </si>
  <si>
    <t>Deep and bottom water export from the Southern Ocean to the Pacific over the past 38 million years -: art. no. PA1020</t>
  </si>
  <si>
    <t>PALEOCEANOGRAPHY</t>
  </si>
  <si>
    <t>Pacific Ocean; deep water circulation; radiogenic isotopes</t>
  </si>
  <si>
    <t>FE-MN CRUSTS; FERROMANGANESE CRUSTS; LEAD ISOTOPES; PB ISOTOPES; NEW-ZEALAND; TECTONIC EVOLUTION; SOUTHWEST PACIFIC; SAMOAN PASSAGE; MIDDLE MIOCENE; NORTH-ATLANTIC</t>
  </si>
  <si>
    <t>The application of radiogenic isotopes to the study of Cenozoic circulation patterns in the South Pacific Ocean has been hampered by the fact that records from only equatorial Pacific deep water have been available. We present new Pb and Nd isotope time series for two ferromanganese crusts that grew from equatorial Pacific bottom water (D137-01, Nova, 7219 m water depth) and southwest Pacific deep water (63KD, Tasman, 1700 m water depth). The crusts were dated using Be-10/(9) Be ratios combined with constant Co-flux dating and yield time series for the past 38 and 23 Myr, respectively. The surface Nd and Pb isotope distributions are consistent with the present-day circulation pattern, and therefore the new records are considered suitable to reconstruct Eocene through Miocene paleoceanography for the South Pacific. The isotope time series of crusts Nova and Tasman suggest that equatorial Pacific deep water and waters from the Southern Ocean supplied the dissolved trace metals to both sites over the past 38 Myr. Changes in the isotopic composition of crust Nova are interpreted to reflect development of the Antarctic Circumpolar Current and changes in Pacific deep water circulation caused by the build up of the East Antarctic Ice Sheet. The Nd isotopic composition of the shallower water site in the southwest Pacific appears to have been more sensitive to circulation changes resulting from closure of the Indonesian seaway.</t>
  </si>
  <si>
    <t>ETH Honggerberg, Inst Particle Phys, Paul Scherrer Inst, CH-8093 Zurich, Switzerland; ETH Zentrum, Dept Earth Sci, Inst Isotope Geol &amp; Mineral Resources, CH-8092 Zurich, Switzerland; US Geol Survey, Menlo Pk, CA 94025 USA; ETH, Dept Chem, Inorgan Chem Lab, Zurich, Switzerland</t>
  </si>
  <si>
    <t>Swiss Federal Institutes of Technology Domain; ETH Zurich; Paul Scherrer Institute; Swiss Federal Institutes of Technology Domain; ETH Zurich; United States Department of the Interior; United States Geological Survey; Swiss Federal Institutes of Technology Domain; ETH Zurich</t>
  </si>
  <si>
    <t>Columbia Univ, Lamont Doherty Earth Observ, 61 Route 9W, Palisades, NY 10964 USA.</t>
  </si>
  <si>
    <t>tina@ldeo.columbia.edu</t>
  </si>
  <si>
    <t>Hein, James/R-7123-2019</t>
  </si>
  <si>
    <t>Frank, Martin/0000-0002-8606-4421; Hattendorf, Bodo/0000-0001-9991-2410</t>
  </si>
  <si>
    <t>0883-8305</t>
  </si>
  <si>
    <t>1944-9186</t>
  </si>
  <si>
    <t>Paleoceanography</t>
  </si>
  <si>
    <t>PA1020</t>
  </si>
  <si>
    <t>10.1029/2003PA000923</t>
  </si>
  <si>
    <t>Geosciences, Multidisciplinary; Oceanography; Paleontology</t>
  </si>
  <si>
    <t>Geology; Oceanography; Paleontology</t>
  </si>
  <si>
    <t>806LD</t>
  </si>
  <si>
    <t>Green Accepted, Bronze</t>
  </si>
  <si>
    <t>WOS:000220434500001</t>
  </si>
  <si>
    <t>Williams, N</t>
  </si>
  <si>
    <t>Chill wind over Antarctic biodiversity</t>
  </si>
  <si>
    <t>CURRENT BIOLOGY</t>
  </si>
  <si>
    <t>Editorial Material</t>
  </si>
  <si>
    <t>CELL PRESS</t>
  </si>
  <si>
    <t>CAMBRIDGE</t>
  </si>
  <si>
    <t>50 HAMPSHIRE ST, FLOOR 5, CAMBRIDGE, MA 02139 USA</t>
  </si>
  <si>
    <t>0960-9822</t>
  </si>
  <si>
    <t>1879-0445</t>
  </si>
  <si>
    <t>CURR BIOL</t>
  </si>
  <si>
    <t>Curr. Biol.</t>
  </si>
  <si>
    <t>MAR 9</t>
  </si>
  <si>
    <t>R169</t>
  </si>
  <si>
    <t>R170</t>
  </si>
  <si>
    <t>10.1016/j.cub.2004.02.006</t>
  </si>
  <si>
    <t>803HQ</t>
  </si>
  <si>
    <t>WOS:000220222600001</t>
  </si>
  <si>
    <t>Kumar, S; Nussinov, R</t>
  </si>
  <si>
    <t>Different roles of electrostatics in heat and in cold: Adaptation by citrate synthase</t>
  </si>
  <si>
    <t>CHEMBIOCHEM</t>
  </si>
  <si>
    <t>citrate synthases; electrostatic interactions; protein structures; psychrophiles; thermophiles</t>
  </si>
  <si>
    <t>SALT BRIDGES; PSYCHROPHILIC ENZYMES; CRYSTAL-STRUCTURE; HYPERTHERMOPHILIC PROTEINS; ANTARCTIC BACTERIUM; PYROCOCCUS-FURIOSUS; ION-PAIRS; STABILITY; THERMOSTABILITY; DEHYDROGENASE</t>
  </si>
  <si>
    <t>Electrostatics ploys a major role in,in heat adaptation by thermophilic proteins. Here we ask whether electrostatics similarly contributes to cold adaptation in psychrophilic proteins. We compare the sequences and structures of citrate synthases from the psychrophile Arthobacter Ds2-3R, from chicken, and from the hyperthermophile Pyrococcus furiosus. The three enzymes shore similar packing, burial of nonpolar surface area, and main-chain hydrogen bonding. However, both psychrophilic and hyperthermophilic citrate synthases contain more charged residues, salt bridges, and salt-bridge networks than the mesophile. The electrostatic free-energy contributions toward protein-stability by individual charged residues show greater variabilities in the psychrophilic citrate synthase than in the hyperthermophilic enzyme. The charged residues in the active-site regions of the psychrophile are more destabilizing than those in the active-site regions of the hyperthermophile. In the hyperthermophilic enzyme, salt bridges and their networks largely cluster in the active-site regions and at the. dimer interface. In contrast, in the psychrophile, they are more dispersed throughout the structure. On average, salt bridges and their networks provide greater electrostatic stabilization to the thermophilic citrate synthase at 100degreesC than to the psychrophilic enzyme at 0degreesC. Electrostatics appears to play an important role in both heat and cold adaptation of citrate synthase. However, remarkably, the role may be different in the two types of enzyme: In the hyperthermophile, it may contribute to the integrity of both the protein dimer and the active site by possibly countering conformational disorder at high temperatures. On the other hand, in the psychrophile at low temperatures, electrostatics may contribute to enhance protein solvation and to ensure active-site flexibility.</t>
  </si>
  <si>
    <t>NCI, Basic Res Program, SAIC Frederick Inc, Lab Expt &amp; Computat Biol, Frederick, MD 21702 USA; Tel Aviv Univ, Sackler Fac Med, Dept Human Genet &amp; Mol Med, Sackler Inst Mol Med, IL-69978 Tel Aviv, Israel</t>
  </si>
  <si>
    <t>Science Applications International Corporation (SAIC); SAIC-Frederick; National Institutes of Health (NIH) - USA; NIH National Cancer Institute (NCI); Tel Aviv University; Sackler Faculty of Medicine</t>
  </si>
  <si>
    <t>NCI, Basic Res Program, SAIC Frederick Inc, Lab Expt &amp; Computat Biol, Bldg 469,Room 151, Frederick, MD 21702 USA.</t>
  </si>
  <si>
    <t>ruthn@ncifcrf.gov</t>
  </si>
  <si>
    <t>Kumar, Sandeep/IUQ-2320-2023; Kumar, Professor (Dr.) Sandeep/AEO-0523-2022</t>
  </si>
  <si>
    <t>Kumar, Sandeep/0000-0002-0848-632X; Kumar, Professor (Dr.) Sandeep/0000-0002-0925-159X; Kumar, Sandeep/0000-0003-2840-6398; Nussinov, Ruth/0000-0002-8115-6415</t>
  </si>
  <si>
    <t>NCI NIH HHS [N01-CO-12400] Funding Source: Medline</t>
  </si>
  <si>
    <t>NCI NIH HHS(United States Department of Health &amp; Human ServicesNational Institutes of Health (NIH) - USANIH National Cancer Institute (NCI))</t>
  </si>
  <si>
    <t>WILEY-V C H VERLAG GMBH</t>
  </si>
  <si>
    <t>WEINHEIM</t>
  </si>
  <si>
    <t>POSTFACH 101161, 69451 WEINHEIM, GERMANY</t>
  </si>
  <si>
    <t>1439-4227</t>
  </si>
  <si>
    <t>1439-7633</t>
  </si>
  <si>
    <t>ChemBioChem</t>
  </si>
  <si>
    <t>MAR 5</t>
  </si>
  <si>
    <t>10.1002/cbic.200300627</t>
  </si>
  <si>
    <t>Biochemistry &amp; Molecular Biology; Chemistry, Medicinal</t>
  </si>
  <si>
    <t>Biochemistry &amp; Molecular Biology; Pharmacology &amp; Pharmacy</t>
  </si>
  <si>
    <t>802XS</t>
  </si>
  <si>
    <t>WOS:000220196800008</t>
  </si>
  <si>
    <t>Meredith, MP; Hughes, CW</t>
  </si>
  <si>
    <t>On the wind-forcing of bottom pressure variability at Amsterdam and Kerguelen Islands, southern Indian Ocean</t>
  </si>
  <si>
    <t>wind-forcing; bottom pressure; southern Indian Ocean</t>
  </si>
  <si>
    <t>ANTARCTIC CIRCUMPOLAR CURRENT; SEA-LEVEL VARIABILITY; DRAKE PASSAGE; TEMPORAL VARIABILITY; TOPEX/POSEIDON DATA; TRANSPORT; CIRCULATION; OSCILLATION; RESONANCE; FRONTS</t>
  </si>
  <si>
    <t>[ 1] Bottom pressure records from Amsterdam and Kerguelen Islands ( southern Indian Ocean) were collected between 1986 and 1989, and interpreted previously in terms of volume transport fluctuations between the islands [ Vassie et al., 1994]. Since a substantial portion of the mean transport of the Antarctic Circumpolar Current (ACC) flows between the islands, it was assumed that ACC transport variability was the predominant signal being measured, and comparisons with ACC variability at other longitudes were made. Here we examine the relationship between atmospheric forcing and observed bottom pressure variability. We find that Kerguelen bottom pressure is forced predominantly by wind stress curl over the Kerguelen Plateau for periods between around 5 days and 1 year. A weaker correlation with circumpolar eastward winds is observed, but is seen not to be causal. Amsterdam pressure shows a similar local response to curl for high frequencies ( 5-10 days), but at longer periods is sensitive to curl over the sub-basin between Kerguelen Plateau, the Southeast Indian Ridge, and Antarctica. This is the region of long-wavelength sea level variability observed by Chao and Fu [ 1995], and interpreted in terms of a geostrophic resonance by Webb and de Cuevas [2002a]. Altimetric studies confirm the usefulness of the Amsterdam location in monitoring this mode. We conclude that the Amsterdam-Kerguelen pressure difference is not a useful measure of ACC transport variability, and that previous agreement found between variability observed here and other locations is largely fortuitous. Instead, the series separately reflect different important dynamical modes in the southern Indian Ocean.</t>
  </si>
  <si>
    <t>Bidston Observ, Proudman Oceanog Lab, Birkenhead CH43 7RA, Merseyside, England</t>
  </si>
  <si>
    <t>NERC National Oceanography Centre</t>
  </si>
  <si>
    <t>Bidston Observ, Proudman Oceanog Lab, Birkenhead CH43 7RA, Merseyside, England.</t>
  </si>
  <si>
    <t>mmm@pol.ac.uk</t>
  </si>
  <si>
    <t>Hughes, Chris/GQP-7479-2022; Hughes, Chris W/A-3791-2010</t>
  </si>
  <si>
    <t>Hughes, Chris W/0000-0002-9355-0233; Meredith, Michael/0000-0002-7342-7756</t>
  </si>
  <si>
    <t>MAR 4</t>
  </si>
  <si>
    <t>C03012</t>
  </si>
  <si>
    <t>10.1029/2003JC002060</t>
  </si>
  <si>
    <t>803IU</t>
  </si>
  <si>
    <t>WOS:000220225600007</t>
  </si>
  <si>
    <t>Saltzman, ES; Aydin, M; De Bruyn, WJ; King, DB; Yvon-Lewis, SA</t>
  </si>
  <si>
    <t>Methyl bromide in preindustrial air: Measurements from an Antarctic ice core</t>
  </si>
  <si>
    <t>methyl bromide; methyl halide; halocarbons</t>
  </si>
  <si>
    <t>NORTH-ATLANTIC OCEAN; POLAR FIRN AIR; ATMOSPHERIC CH3BR; PACIFIC-OCEAN; CHLORIDE; EMISSIONS; RATES; DEGRADATION; HALOCARBONS; HYDROLYSIS</t>
  </si>
  <si>
    <t>[1] This paper presents the first ice core measurements of methyl bromide (CH3Br). Samples from a shallow Antarctic ice core (Siple Dome, West Antarctica), ranging in mean gas dates from 1671 to 1942, had a mean CH3Br mixing ratio of 5.8 ppt. These results extend the existing historical record derived from air and Antarctic firn air to about 350 years before present. Model simulations illustrate that the ice core results are consistent with estimates of the impact of anthropogenic activity ( fumigation, combustion, and biomass burning) on the atmospheric CH3Br burden, given the large current uncertainties in the modern atmospheric CH3Br budget. A preindustrial scenario assuming no fumigation, no combustion, and a 75% reduction in biomass-burning sources yields aSouthern Hemisphere mean mixing ratio of 5.8 ppt, in good agreement with the ice core results. There is a significant imbalance between the known CH3Br sources and sinks in the modern atmospheric CH3Br budget. The ice core data do not sufficiently constrain the model to determine how much of the unknown source'' was present in the preindustrial budget. The results do indicate that most of the southern hemispheric component of this unknown source'' is not anthropogenic.</t>
  </si>
  <si>
    <t>Univ Calif Irvine, Irvine, CA 92697 USA; Chapman Univ, Dept Phys Sci, Orange, CA 92866 USA; Drexel Univ, Dept Chem, Philadelphia, PA 19104 USA; NOAA, Atlantic Oceanog &amp; Meteorol Lab, Miami, FL 33149 USA</t>
  </si>
  <si>
    <t>University of California System; University of California Irvine; Chapman University System; Chapman University; Drexel University; National Oceanic Atmospheric Admin (NOAA) - USA; Atlantic Oceanographic &amp; Meteorological Laboratory (AOML)</t>
  </si>
  <si>
    <t>Univ Calif Irvine, 220 Rowland Hall, Irvine, CA 92697 USA.</t>
  </si>
  <si>
    <t>esaltzma@uci.edu; maydin@uci.edu; dbruyn@chapman.edu; daniel.king@drexel.edu; shari.yvon-lewis@noaa.gov</t>
  </si>
  <si>
    <t>Yvon-Lewis, Shari A/E-4108-2012</t>
  </si>
  <si>
    <t>Yvon-Lewis, Shari A/0000-0003-1378-8434</t>
  </si>
  <si>
    <t>MAR 2</t>
  </si>
  <si>
    <t>D5</t>
  </si>
  <si>
    <t>D05301</t>
  </si>
  <si>
    <t>10.1029/2003JD004157</t>
  </si>
  <si>
    <t>803IJ</t>
  </si>
  <si>
    <t>Green Published, Bronze, Green Submitted</t>
  </si>
  <si>
    <t>WOS:000220224500001</t>
  </si>
  <si>
    <t>Zhu, RB; Sun, LG; Yin, XB; Liu, XD; Xing, GX</t>
  </si>
  <si>
    <t>Summertime surface N2O concentration observed on Fildes Peninsula Antarctica:: Correlation with total atmospheric O3 and solar activity</t>
  </si>
  <si>
    <t>ADVANCES IN ATMOSPHERIC SCIENCES</t>
  </si>
  <si>
    <t>Fildes Peninsula; Antarctica; nitrous oxide; ozone; sunspot</t>
  </si>
  <si>
    <t>NITROUS-OXIDE OBSERVATIONS; STRATOSPHERIC OZONE; EMISSIONS; METHANE; CYCLE</t>
  </si>
  <si>
    <t>Three-year summertime surface atmospheric N2O concentrations were observed for the first time on the Fildes Peninsula, maritime Antarctica, and the relationships among the N2O concentration, total atmospheric O-3 amount, and sunspot number were analyzed. Solar activity had an important effect on surface N2O concentration and total O-3 amount, and increases of sunspot number were followed by decreases in the N2O concentration and total O-3 amount. A corresponding relationship exists between the N2O concentration and total atmospheric O-3, and ozone destruction was preceded by N2O reduction. We propose that the extended solar activity in the Antarctic summer reduces the stratospheric N2O by converting it into NOx, increases the diffusion of N2O from the troposphere to the stratosphere, decreases the surface atmospheric N2O, and depletes O-3 via the chemical reaction between O-3 and NOx. Our observation results are consistent with the theory of solar activity regarding the formation of the Antarctic O-3 hole.</t>
  </si>
  <si>
    <t>Univ Sci &amp; Technol China, Inst Polar Environm, Anhua 230026, Peoples R China; Chinese Acad Sci, Inst Soil Sci, Lab Mat Cycling Pedosphere, Nanjing 210008, Peoples R China</t>
  </si>
  <si>
    <t>Chinese Academy of Sciences; University of Science &amp; Technology of China, CAS; Chinese Academy of Sciences; Nanjing Institute of Soil Science, CAS</t>
  </si>
  <si>
    <t>Univ Sci &amp; Technol China, Inst Polar Environm, Anhua 230026, Peoples R China.</t>
  </si>
  <si>
    <t>slg@ustc.edu.cn</t>
  </si>
  <si>
    <t>SCIENCE PRESS</t>
  </si>
  <si>
    <t>BEIJING</t>
  </si>
  <si>
    <t>16 DONGHUANGCHENGGEN NORTH ST, BEIJING 100717, PEOPLES R CHINA</t>
  </si>
  <si>
    <t>0256-1530</t>
  </si>
  <si>
    <t>1861-9533</t>
  </si>
  <si>
    <t>ADV ATMOS SCI</t>
  </si>
  <si>
    <t>Adv. Atmos. Sci.</t>
  </si>
  <si>
    <t>MAR</t>
  </si>
  <si>
    <t>10.1007/BF02915706</t>
  </si>
  <si>
    <t>811SX</t>
  </si>
  <si>
    <t>WOS:000220792700006</t>
  </si>
  <si>
    <t>Bergmann, J; Lassen, S; Prange, A</t>
  </si>
  <si>
    <t>Determination of the absolute configuration of selenomethionine from antarctic krill by RP-HPLC/ICP-MS using chiral derivatization agents</t>
  </si>
  <si>
    <t>ANALYTICAL AND BIOANALYTICAL CHEMISTRY</t>
  </si>
  <si>
    <t>selenomethionine; chiral speciation; enantiomer separation; inductively coupled plasma mass spectrometry krill</t>
  </si>
  <si>
    <t>LIQUID-CHROMATOGRAPHIC DETERMINATION; AMINO-ACIDS; SELENIUM; SPECIATION; YEAST; ENANTIOMERS; RESOLUTION; SAMPLES; CANCER; RISK</t>
  </si>
  <si>
    <t>A fast and sensitive method was developed for the determination of the absolute configuration of selenomethionine. The enantiomers of selenomethionine were converted into diastereomeric isoindole derivatives by reaction with o-phthaldialdehyde and N-isobutyryl-L-cysteine. This easy-to-handle reaction proceeds quantitatively in a few minutes at room temperature. Separation and detection of the diastereomers was achieved by reversed-phase high-performance liquid chromatography-inductively coupled plasma-mass spectrometry (RP-HPLC/ICP-MS) using a conventional C18 reversed-phase column. Detection limits of about 4 mug L-1 were obtained. The method was applied to the determination of the configuration of selenomethionine extracted from antarctic krill, which turned out to possess the L-Configuration.</t>
  </si>
  <si>
    <t>GKSS Forschungszentrum Geesthacht GmbH, Inst Coastal Res, D-21502 Geesthacht, Germany</t>
  </si>
  <si>
    <t>Helmholtz Association; Helmholtz-Zentrum Hereon</t>
  </si>
  <si>
    <t>GKSS Forschungszentrum Geesthacht GmbH, Inst Coastal Res, Max Planck Str, D-21502 Geesthacht, Germany.</t>
  </si>
  <si>
    <t>andreas.prange@gkss.de</t>
  </si>
  <si>
    <t>Bergmann, Jan/I-4719-2018</t>
  </si>
  <si>
    <t>Bergmann, Jan/0000-0003-3566-1979</t>
  </si>
  <si>
    <t>SPRINGER HEIDELBERG</t>
  </si>
  <si>
    <t>HEIDELBERG</t>
  </si>
  <si>
    <t>TIERGARTENSTRASSE 17, D-69121 HEIDELBERG, GERMANY</t>
  </si>
  <si>
    <t>1618-2642</t>
  </si>
  <si>
    <t>1618-2650</t>
  </si>
  <si>
    <t>ANAL BIOANAL CHEM</t>
  </si>
  <si>
    <t>Anal. Bioanal. Chem.</t>
  </si>
  <si>
    <t>10.1007/s00216-003-2472-2</t>
  </si>
  <si>
    <t>Biochemical Research Methods; Chemistry, Analytical</t>
  </si>
  <si>
    <t>Biochemistry &amp; Molecular Biology; Chemistry</t>
  </si>
  <si>
    <t>809UO</t>
  </si>
  <si>
    <t>WOS:000220661800028</t>
  </si>
  <si>
    <t>Clarke, A</t>
  </si>
  <si>
    <t>Probing the depths</t>
  </si>
  <si>
    <t>ANTARCTIC SCIENCE</t>
  </si>
  <si>
    <t>0954-1020</t>
  </si>
  <si>
    <t>ANTARCT SCI</t>
  </si>
  <si>
    <t>Antarct. Sci.</t>
  </si>
  <si>
    <t>10.1017/S0954102004001737</t>
  </si>
  <si>
    <t>Environmental Sciences; Geography, Physical; Geosciences, Multidisciplinary</t>
  </si>
  <si>
    <t>Environmental Sciences &amp; Ecology; Physical Geography; Geology</t>
  </si>
  <si>
    <t>804PN</t>
  </si>
  <si>
    <t>WOS:000220310700001</t>
  </si>
  <si>
    <t>Battaglia, B</t>
  </si>
  <si>
    <t>Adaptive evolution of Antarctic marine organisms - Introduction to the meeting</t>
  </si>
  <si>
    <t>WOS:000220310700002</t>
  </si>
  <si>
    <t>Brandt, A</t>
  </si>
  <si>
    <t>Abundance, diversity, and community patterns of Isopoda (Crustacea) in the Weddell Sea and in the Bransfield Strait, Southern Ocean</t>
  </si>
  <si>
    <t>isopod community analysis; suprabenthos</t>
  </si>
  <si>
    <t>SHETLAND ISLANDS; BATHYMETRIC DISTRIBUTION; PERACARID CRUSTACEANS; SWIMMING ACTIVITY; ENGLISH-CHANNEL; SAND COMMUNITY; EAST GREENLAND; FAUNA; MALACOSTRACA; ASSEMBLAGES</t>
  </si>
  <si>
    <t>Abundance, diversity, and distribution of suprabenthic Isopoda caught from a water layer between 0.27 to 0.60 m above the seafloor were analysed. The samples were taken during the ANT XV/3 cruise on RV Polarstern by means of an epibenthic sledge along two transects in the Southern Weddell Sea (Vestkapp and Halley Bay) and another one east of King George Island. At each of these three bathymetric transects, five to six stations were sampled between 200 and 2000 m. In total, 4258 specimens of isopods were sampled at 14 stations standardized to 1000 m(2) hauls. 114 species were identified from 49 genera and 23 higher taxa (families and suborders) of Isopoda. Most of them belonged to the suborder Asellota. Dominant families are Munnopsididae (Eurycopinae, Ilyarachninae), Joeropsidae, Munnidae, Paramunnidae, Ischnomesidae and Desmosomatidae. No striking differences were found between areas (Vestkapp, Halley Bay, Kapp Norvegia, and Bransfield Strait). Overall isopod abundances were highest at the shallowest station; species richness was slightly higher above 1000 in depth.</t>
  </si>
  <si>
    <t>Univ Hamburg, Inst Zool, D-20146 Hamburg, Germany; Univ Hamburg, Museum, D-20146 Hamburg, Germany</t>
  </si>
  <si>
    <t>University of Hamburg; University of Hamburg</t>
  </si>
  <si>
    <t>Brandt, A (corresponding author), Univ Hamburg, Inst Zool, Martin Luther King Pl 3, D-20146 Hamburg, Germany.</t>
  </si>
  <si>
    <t>abrandt@zoologie.uni-hamburg.de</t>
  </si>
  <si>
    <t>Brandt, Angelika/C-1630-2018</t>
  </si>
  <si>
    <t>10.1017/S0954102004001749</t>
  </si>
  <si>
    <t>WOS:000220310700003</t>
  </si>
  <si>
    <t>Gutt, J; Sirenko, BI; Smirnov, IS; Arntz, WE</t>
  </si>
  <si>
    <t>How many macrozoobenthic species might inhabit the Antarctic shelf?</t>
  </si>
  <si>
    <t>nonparametric species richness estimators; species accumulation; Weddell Sea</t>
  </si>
  <si>
    <t>NORWEGIAN CONTINENTAL-SHELF; WEDDELL SEA ANTARCTICA; DIVERSITY; RICHNESS; BIODIVERSITY; ECOSYSTEM; EVOLUTION; FAUNA</t>
  </si>
  <si>
    <t>Based on data from the Weddell Sea in the Atlantic sector of the Southern Ocean, the total number of macrozoobenthic species was estimated for the entire Antarctic shelf using species-accumulation methods, jack-knife estimators, and Incidence-based Coverage Estimators of species richness. Ranging between 11 000 and 17 000 expected species, Antarctica seems to have an intermediate species richness when compared to other selected tropical, temperate or Arctic habitats.</t>
  </si>
  <si>
    <t>Alfred Wegener Inst Polar &amp; Marine Res, D-27568 Bremerhaven, Germany; Russian Acad Sci, Inst Zool, St Petersburg 199034, Russia</t>
  </si>
  <si>
    <t>Helmholtz Association; Alfred Wegener Institute, Helmholtz Centre for Polar &amp; Marine Research; Russian Academy of Sciences; Zoological Institute of the Russian Academy of Sciences</t>
  </si>
  <si>
    <t>Gutt, J (corresponding author), Alfred Wegener Inst Polar &amp; Marine Res, Columbusstr, D-27568 Bremerhaven, Germany.</t>
  </si>
  <si>
    <t>jgutt@awi-bremerhaven.de</t>
  </si>
  <si>
    <t>Smirnov, Igor/R-2792-2017</t>
  </si>
  <si>
    <t>Smirnov, Igor/0000-0003-3098-3346; Gutt, Julian/0000-0003-3773-9370</t>
  </si>
  <si>
    <t>10.1017/S0954102004001750</t>
  </si>
  <si>
    <t>WOS:000220310700004</t>
  </si>
  <si>
    <t>Iwami, T</t>
  </si>
  <si>
    <t>Comparative morphology of the adductor mandibulae musculature of notothenioid fishes (Pisces, Perciformes)</t>
  </si>
  <si>
    <t>Antarctic fish; Notothenioidei; myology; systematics</t>
  </si>
  <si>
    <t>EVOLUTION; MITOCHONDRIAL; TELEOSTEI</t>
  </si>
  <si>
    <t>The jaw musculature of notothenioid fishes is described and compared based on a total of 38 species referred to eight families of the suborder Notothenioidei. In the Notothenioidei, the adductor mandibulae, the largest and most conspicuous of the cranial muscles, is generally composed of sections A1, A2, A3 and Aw, as in the generalized percoids. The morphology of the adductor mandibulae is similar in most notothenioid families except the Nototheniidae and Bathydraconidae. Notothenia, Paranotohenia and Dissostichus are clearly distinguished from the other nototheniid genera in having A3. Gymnodraco or the Bathydraconidae has a fused A1-A2 complex and the anterior element is segmented by a tendinous intersection from the A1-A2 complex. These features are unique to Gymnodraco and not seen in other bathydraconids. The Harpagiferidae and Artedidraconidae share the same apomorphy, the presence of A1beta with the Nototheniidae and have no synapomorphies with the Bathydraconidae and Channichthyidae. The character distribution, however, shows some inconsistencies with the previous classifications. Based oil the limited evidence obtained ill this Study, the Notothenioidei can be divided into six groups and it seems reasonable to Suggest a review of the Current classification of the Nototheniidae.</t>
  </si>
  <si>
    <t>Tokyo Kasei Gakuin Univ, Biol Lab, Tokyo 1940292, Japan</t>
  </si>
  <si>
    <t>Iwami, T (corresponding author), Tokyo Kasei Gakuin Univ, Biol Lab, 2600 Aihara, Tokyo 1940292, Japan.</t>
  </si>
  <si>
    <t>iwami@kasei-gakuin.ac.jp</t>
  </si>
  <si>
    <t>10.1017/S0954102004001762</t>
  </si>
  <si>
    <t>WOS:000220310700005</t>
  </si>
  <si>
    <t>La Terza, A; Miceli, C; Luporini, P</t>
  </si>
  <si>
    <t>The gene for the heat-shock protein 70 of Euplotes focardii, an Antarctic psychrophilic ciliate</t>
  </si>
  <si>
    <t>Antarctic biology; cold adaptation; HSE and StRE cis-acting elements; Protozoa; stress-inducible genes</t>
  </si>
  <si>
    <t>HEAT-SHOCK PROTEINS; TRANSCRIPTION FACTORS; STRESS-RESPONSE; EXPRESSION; TUBULIN; DOMAIN; HYDRA; DIVERGENCE; FAMILY; ABSENT</t>
  </si>
  <si>
    <t>In the Antarctic ciliate, Euplotes focardii, the heat-shock protein 70 (Hsp70) gene does not show any appreciable activation by a thermal stress. Yet, it is activated to appreciable transcriptional levels by oxidative and chemical stresses, thus implying that it evolved a mechanism of selective, stress-specific response. A basic step in investigating this mechanism is the determination of the complete nucleotide sequence of the E. focardii Hsp70 gene. This gene contains a coding region specific for an Hsp70 protein that carries unique amino acid Substitutions of potential significance for cold adaptation., and a 5' regulatory region that includes sequence motifs denoting two distinct types of stress-inducible promoters, known as Heat Shock Elements (HSE) and Stress Response Elements (StRE). From the Study of the interactions of these regulatory elements with their specific transactivator factors we expect to shed light oil the adaptive modifications that prevent the Hsp70 gene of E. focardii from responding to thermal stress while being responsive to other stresses.</t>
  </si>
  <si>
    <t>Univ Camerino, Dept Mol Cellular &amp; Anim Biol, I-62032 Camerino, Italy</t>
  </si>
  <si>
    <t>University of Camerino</t>
  </si>
  <si>
    <t>Luporini, P (corresponding author), Univ Camerino, Dept Mol Cellular &amp; Anim Biol, I-62032 Camerino, Italy.</t>
  </si>
  <si>
    <t>piero.luporini@unicam.it</t>
  </si>
  <si>
    <t>La Terza, Antonietta/0000-0002-1244-1503; Miceli, Cristina/0000-0002-7829-8471</t>
  </si>
  <si>
    <t>1365-2079</t>
  </si>
  <si>
    <t>10.1017/S0954102004001774</t>
  </si>
  <si>
    <t>WOS:000220310700006</t>
  </si>
  <si>
    <t>Lee, YH; Song, M; Lee, S; Leon, R; Godoy, SO; Canete, I</t>
  </si>
  <si>
    <t>Molecular phylogeny and divergence time of the Antarctic sea urchin (Sterechinus neumayeri) in relation to the South American sea urchins</t>
  </si>
  <si>
    <t>classification; evolution; Loxechinus albus; Pseudechinus magellanicus; vicariance</t>
  </si>
  <si>
    <t>NUCLEOTIDE-SEQUENCE; EVOLUTIONARY TREES; GENE ORGANIZATION; OCEAN CURRENTS; MODEL; REPRODUCTION; SPECIATION; KRILL; DNA</t>
  </si>
  <si>
    <t>Stercchinus neumayeri is an abundant regular sea urchin that lives in the shallow Antarctic waters. This organism has been used as a model system in many fields of the Antarctic biology. Yet, understanding of the evolutionary Identity of the species, Such as its phylogenetic relationships and divergence time, remains limited. Here, we reconstructed the molecular phylogenies of the species together with two sea urchin species in southernmost South America (Loxechinus albus and Pseudechinus magellanicus), a parechinid species (Paracentrotus lividus) and three strongylocentrotid species (Strongylocentrotus purpuratus, S. intermedius, and Hemicentrotus pulcherrimus) using mitochondrial DNA sequences of 12S r-DNA-tRNA(gln) region (877nt) and cytochrome oxidase Subunit 1 (CO1, 1079nt). The rate of sequence evolution and the divergence time of the species were then estimated from the trees. The phylogenetic trees reveal that S. neumayeri is a sister group to the lineage of L. albus and P lividus, and separated from the lineage 24-35 million years ago (m.y.a.). The divergence between S. neumayeri and L. albus coincides with the separation of Antarctica from South America, suggesting that the tectonic event must have provoked the cladogenesis of the Species through vicariance.</t>
  </si>
  <si>
    <t>Korea Ocean Res &amp; Dev Inst, Polar Sci Lab, Ansan 152600, South Korea; Univ Magallanes, Dept Ciencias &amp; Recursos Nat, Punta Arenas 01890, Chile</t>
  </si>
  <si>
    <t>Korea Institute of Ocean Science &amp; Technology (KIOST); Universidad de Magallanes</t>
  </si>
  <si>
    <t>Korea Ocean Res &amp; Dev Inst, Polar Sci Lab, POB 29, Ansan 152600, South Korea.</t>
  </si>
  <si>
    <t>ylee@kordi.re.kr</t>
  </si>
  <si>
    <t>10.1017/S0954102004001786</t>
  </si>
  <si>
    <t>WOS:000220310700007</t>
  </si>
  <si>
    <t>Near, TJ</t>
  </si>
  <si>
    <t>Estimating divergence times of notothenioid fishes using a fossil-calibrated molecular clock</t>
  </si>
  <si>
    <t>Antarctica; antifreeze glycoprotein; Notothenioidei; penalized likelihood; phylogeny; rate heterogeneity</t>
  </si>
  <si>
    <t>MITOCHONDRIAL-DNA EVOLUTION; PHYLOGENY; RATES; DIVERSIFICATION; AGE; ANTARCTICA; TELEOSTEI</t>
  </si>
  <si>
    <t>Hypotheses concerning the diversification of notothenioid fishes have relied extensively on estimates of divergence times using molecular clock methods. The timing of diversification of the cold adapted antifreeze glycoprotein (AFGP)-bearing Antarctic notothenioid clade in the middle to late Miocene has been correlated with the onset of polar climatic conditions along the Antarctic Continental Shelf. Critical examination of the previous molecular clock analyses of notothenioids reveals several problems associated with heterogeneity of nucleotide substitution rates among lineages, the application of potentially inappropriate nucleotide substitution rates, and the lack of confidence intervals for divergence time estimates. In this Study, the notothenioid partial gene mtDNA 12S-16S rRNA (PG-rRNA) molecular clock was reanalysed using a tree-based maximum likelihood strategy that attempts to account for rate heterogeneity of nucleotide substitution rates among lineages using the penalized likelihood method, and bootstrap resampling to estimate confidence intervals of divergence time estimates. The molecular clock was calibrated using the notothenioid fossil Proeleginops Divergence time estimates for all nodes in the PG-rRNA maximum likelihood tree were Substantially older than previous estimates. In particular, the estimated age of the AFGP-bearing Antarctic notothenioid clade predates the onset of extensive sea ice and development of polar conditions by at least 10 million years. Despite caveats involving the fossil calibration and limitations of the PG-rRNA dataset, these divergence time estimates provide initial observations for the development of a novel model of the diversification of cold adapted Antarctic notothenioid fishes.</t>
  </si>
  <si>
    <t>Univ Tennessee, Dept Ecol &amp; Evolutionary Biol, Knoxville, TN 37996 USA</t>
  </si>
  <si>
    <t>University of Tennessee System; University of Tennessee Knoxville</t>
  </si>
  <si>
    <t>Univ Tennessee, Dept Ecol &amp; Evolutionary Biol, 569 Dabney Hall, Knoxville, TN 37996 USA.</t>
  </si>
  <si>
    <t>tnear@utk.edu</t>
  </si>
  <si>
    <t>Near, Thomas J./K-1204-2012</t>
  </si>
  <si>
    <t>Near, Thomas J./0000-0002-7398-6670</t>
  </si>
  <si>
    <t>10.1017/S0954102004001798</t>
  </si>
  <si>
    <t>WOS:000220310700008</t>
  </si>
  <si>
    <t>Oreste, U; Coscia, MR</t>
  </si>
  <si>
    <t>Investigations on Trematomus bernacchii immunoglobulins at gene and protein level</t>
  </si>
  <si>
    <t>Antarctic teleost; antibody structure; cold adaptation; gene Mutability; molecular flexibility; VH gene segment</t>
  </si>
  <si>
    <t>VARIABLE DOMAIN; HEAVY-CHAIN; FLEXIBILITY; ANTIBODIES; RECEPTOR; PLASMA</t>
  </si>
  <si>
    <t>To study how teleosts have modified their immunoglobulin structures to adapt to the Antarctic environment, we investigated Trematomus bernacchii IgM at protein and gene levels. Serum IgM was purified, characterized and quantified. The nucleotide and deduced amino acid sequences of IgL and IgH were determined. Upon comparison with other teleosts, T bernacchii IgH showed a higher hydrophilic character and the presence of two remarkable insertions, probably increasing the flexibility of the molecule. To investigate the amplitude of the antibody repertoire, a VH library was constructed. The analysis of rearranged VH/D/JH transcripts revealed a high Occurrence of the RGYW inotif and a clear bias in the usage of serine codons. Diversity generated by insertions/deletions Occurred more often than in other species. VH sequences fell into only two gene families referred to as Tribe VH I and Trbe VH II. The deduced amino acid sequence of the membrane region was found to be the longest and an F/Y substitution was observed at a highly conserved position. Models of the transmembrane helices of T bernacchii and other teleost Ig were constructed by molecular dynamics. Finally, the analysis of the antibody specificity revealed the presence of antibodies specific to the proteins of nematode parasites.</t>
  </si>
  <si>
    <t>CNR, Inst Prot Biochem, I-80125 Naples, Italy</t>
  </si>
  <si>
    <t>Consiglio Nazionale delle Ricerche (CNR); Istituto di Biochimica delle Proteine (IBP-CNR)</t>
  </si>
  <si>
    <t>Oreste, U (corresponding author), CNR, Inst Prot Biochem, Viale Marconi 10, I-80125 Naples, Italy.</t>
  </si>
  <si>
    <t>Coscia, Maria Rosaria/AAU-1808-2021</t>
  </si>
  <si>
    <t>10.1017/S0954102004001804</t>
  </si>
  <si>
    <t>WOS:000220310700009</t>
  </si>
  <si>
    <t>Ozouf-Costaz, C; Brandt, J; Körting, C; Pisano, E; Bonillo, C; Coutanceau, JP; Volff, JN</t>
  </si>
  <si>
    <t>Genome dynamics and chromosomal localization of the non-LTR retrotransposons Rex1 and Rex3 in Antarctic fish</t>
  </si>
  <si>
    <t>evolution; fluorescence in situ hybridization; Notothenioidei; retrotransposable elements</t>
  </si>
  <si>
    <t>TY3/GYPSY RETROTRANSPOSON; TRANSPOSABLE ELEMENTS; XIPHOPHORUS; NUCLEOTIDE; EVOLUTION; RATES</t>
  </si>
  <si>
    <t>The non-long terminal repeat retrotransposons Rex1 and Rex3 were identified in 13 species of Antarctic fishes from five families of the suborder Notothenioidei. Partial reverse transcriptase gene sequences were characterized for Notothenia coriiceps, Trematomus newnesi and Dissostichus mawsoni (Nototheniidae), and Gymnodraco acuticeps (Bathydraconidae). Rex1 and Rex3 both formed a notothenioid-specific monophyletic group compared to the corresponding elements from other fishes. They globally evolved under purifying selection, showing their activity during notothenioid evolution. Fluorescence in situ hybridization analysis of the chromosomal distribution of Rex1 and Rex3 was performed for several notothenioid fish species. Rex1 was generally less abundant than Rex3, which was widely scattered on the chromosomes with more intense hybridization patterns in some specific zones. Particularly, Rex3 accumulated in Chionodraco hamatus in pericentromeric areas, short arms of some pairs as well as in an intercalary band in the long arm of the Y chromosome similarly to a previously described DNA transposon. Such pattern similarities Suggest the presence of autosomal and gonosomal regions of preferential accumulation for different types of repeated elements in notothenioid genomes. To the best of our knowledge, this report is the first description and analysis of retrotransposable elements in Antarctic fish genomes.</t>
  </si>
  <si>
    <t>Museum Natl Hist Nat, CNRS, IFR 101, Dept Systemat &amp; Evolut,Serv Systemat Mol, F-75231 Paris 05, France; Univ Wurzburg, Biozentrum, Biofuture Res Grp, D-97074 Wurzburg, Germany; Univ Genoa, Dept Biol, I-16132 Genoa, Italy</t>
  </si>
  <si>
    <t>Museum National d'Histoire Naturelle (MNHN); Centre National de la Recherche Scientifique (CNRS); University of Wurzburg; University of Genoa</t>
  </si>
  <si>
    <t>Museum Natl Hist Nat, CNRS, IFR 101, Dept Systemat &amp; Evolut,Serv Systemat Mol, 43 Rue Cuvier, F-75231 Paris 05, France.</t>
  </si>
  <si>
    <t>ozouf@mnhn.fr</t>
  </si>
  <si>
    <t>10.1017/S0954102004001816</t>
  </si>
  <si>
    <t>WOS:000220310700010</t>
  </si>
  <si>
    <t>Verde, C; Parisi, E; Di Prisco, G</t>
  </si>
  <si>
    <t>Comparison of Arctic and Antarctic teleost haemoglobins: primary structure, function and phylogeny</t>
  </si>
  <si>
    <t>cold adaptation; evolution; fish; molecular clock; Root effect</t>
  </si>
  <si>
    <t>DISTINCT HEMOGLOBINS; EVOLUTION</t>
  </si>
  <si>
    <t>Organisms living in the Arctic and Antarctic are exposed to strong environmental constraints, especially temperature. Consequently, haemoglobin evolution has included adaptations with implications at the biochemical, physiological and molecular levels. The northern and southern polar oceans have very different oceanographic characteristics. Within the Study of the molecular bases of cold adaptation in fish inhabiting polar habitats, and taking advantage of the information available on haemoglobin structure and function, we analysed the evolutionary history of the alpha and beta globins of Antarctic and Arctic haemoglobins, under the assumption of the rnolecular-clock hypothesis, as a basis for reconstructing the phylogenetic relationships between species. Temperate fish, including two non-Antarctic notothenioids of special evolutionary interest, were also considered. Phylogenetic analysis was performed on the multiple sequence alignments constructed with the programme Clustal X. Tree topologies indicate that the chains of Antarctic major and minor haemoglobins cluster in two well separated groups and diverged prior to cold adaptation, forming a monophyletic group. In Arctic haemoglobins, the structure/function relationship reveals important differences in comparison with Antarctic ones, indicating a distinct evolutionary pathway. The Arctic ichthyofauna (unlike the Antarctic, dominated by one taxonomically uniform group) is characterized by high diversity, reflected in the phylogeny of a given trait. The constant physico-chemical conditions of the Antarctic waters are matched by a clear grouping of fish globin sequences, whereas the variability typical of the Arctic Ocean corresponds to high sequence variation, reflected in the trees by scattered intermediate positions between the Antarctic and non-Antarctic clades. The evolutionary history of the Root effect, an important physiological feature of fish haemoglobin, was investigated. Analysis of the fate of the residues of the 0 chains suggested to be correlated with the Root effect indicate that they should rather be regarded as ancestral characters, inherited by some species but not by others.</t>
  </si>
  <si>
    <t>CNR, Inst Prot Biochem, Via Marconi 1, I-80125 Naples, Italy.</t>
  </si>
  <si>
    <t>c.verde@ibp.cnr.it</t>
  </si>
  <si>
    <t>VERDE, Cinzia/0000-0001-6185-282X</t>
  </si>
  <si>
    <t>10.1017/S0954102004001828</t>
  </si>
  <si>
    <t>WOS:000220310700011</t>
  </si>
  <si>
    <t>Dettaï, A; Lecointre, G</t>
  </si>
  <si>
    <t>In search of notothenioid (Teleostei) relatives</t>
  </si>
  <si>
    <t>Acanthomorpha; benthic Antarctic fishes; molecular phylogeny; Notothenioidei; taxonomic congruence</t>
  </si>
  <si>
    <t>PERCOMORPH PHYLOGENY; CLADES</t>
  </si>
  <si>
    <t>Ninety-five percent of the fish species known from the Antarctic continental shelf and upper slope are acanthomorphs, i.e. spiny teleosteans. Notothenioids (Suborder Notothenioidei) are acanthomorphs and so is their sister group. Unfortunately, until recently acanthomorph intra-relationships were so poorly known that it was necessary to sample all of this diversity just to search for a single sister group relationship. Using recent advances in acanthomorph molecular phylogenetics, particular properties of separate analyses and a new protocol of dataset combination, we identified a clade that contains the sister group of notothenioids, the Percidae (perches), and a number of relatives. Among these relatives arc the Serranidae (sea basses), the genera Trachinus (weeverfish), Chelidonichthys (gurnard), Scorpaena (scorpionfish), and a group composed of the Zoarcoidei (eelpouts) and the Cottoidei (sculpins) with the Gasterosteidae (sticklebacks) as their sister group. Interestingly, that clade contains 88% of the Fish species found on the Antarctic continental shelf and upper slope. The interrelationships of its components and their distribution show that the Antarctic benthic fish fauna has at least three origins.</t>
  </si>
  <si>
    <t>Museum Natl Hist Nat, Dept Systemat &amp; Evolut, Serv Systemat Mol, CNRS,UMR Systemat Adaptat Evolut 7138, F-75231 Paris 05, France</t>
  </si>
  <si>
    <t>Sorbonne Universite; Museum National d'Histoire Naturelle (MNHN); Centre National de la Recherche Scientifique (CNRS); CNRS - National Institute for Biology (INSB)</t>
  </si>
  <si>
    <t>Lecointre, G (corresponding author), Museum Natl Hist Nat, Dept Systemat &amp; Evolut, Serv Systemat Mol, CNRS,UMR Systemat Adaptat Evolut 7138, 43 Rue Cuvier, F-75231 Paris 05, France.</t>
  </si>
  <si>
    <t>lecointr@mnhn.fr</t>
  </si>
  <si>
    <t>Dettai, Agnes/E-7838-2010; Dettai, Agnes/Q-6743-2019</t>
  </si>
  <si>
    <t>10.1017/S095410200400183X</t>
  </si>
  <si>
    <t>WOS:000220310700012</t>
  </si>
  <si>
    <t>Kokhanovsky, AA; Zege, EP</t>
  </si>
  <si>
    <t>Scattering optics of snow</t>
  </si>
  <si>
    <t>APPLIED OPTICS</t>
  </si>
  <si>
    <t>LIGHT-SCATTERING; GRAIN-SIZE; BIDIRECTIONAL REFLECTANCE; ALBEDO; ICE; ULTRAVIOLET; LAYERS</t>
  </si>
  <si>
    <t>Permanent snow and ice cover great portions of the Arctic and the Antarctic. It appears in winter months in northern parts of America, Asia, and Europe. Therefore snow is an important component of the hydrological cycle. Also, it is a main regulator of the seasonal variation of the planetary albedo. This seasonal change in albedo is determined largely by the snow cover. However, the presence of pollutants and the microstructure of snow (e.g., the size and shape of grains, which depend also on temperature and on the age of the snow) are also of importance in the variation of the snow's spectral albedo. The snow's spectral albedo and its bidirectional reflectance are studied theoretically. The albedo also determines the spectral absorptance of snow, which is of importance, e.g., in studies of the heating regime in snow. We investigate the influence of the nonspherical shape of grains and of close-packed effects on snow's reflectance in the visible and the near-infrared regions of the electromagnetic spectrum. The rate of the spectral transition from highly reflective snow in the visible to almost totally absorbing black snow in the infrared is governed largely by the snow's grain sizes and by the load of pollutants. Therefore both the characteristics of snow and its concentration of impurities can be monitored on a global scale by use of spectrometers and radiometers placed on orbiting satellites. (C) 2004 Optical Society of America.</t>
  </si>
  <si>
    <t>Univ Bremen, Inst Environm Phys, D-28213 Bremen, Germany; Natl Acad Sci Belarus, BI Stepanov Phys Inst, Minsk 220072, BELARUS</t>
  </si>
  <si>
    <t>University of Bremen; National Academy of Sciences of Belarus (NASB); B.I. Stepanov Institute of Physics of the National Academy of Sciences of Belarus</t>
  </si>
  <si>
    <t>Univ Bremen, Inst Environm Phys, Otto Hahn Allee 1, D-28213 Bremen, Germany.</t>
  </si>
  <si>
    <t>alexk@iup.physik.uni-bremen.de</t>
  </si>
  <si>
    <t>Kokhanovsky, Alexander/HIR-2688-2022; Kokhanovsky, Alexander/C-6234-2016; Kokhanovsky, Alexander/IXN-7034-2023; Kokhanovsky, Alexander/X-1930-2019</t>
  </si>
  <si>
    <t>Kokhanovsky, Alexander/0000-0001-7110-223X; Kokhanovsky, Alexander/0000-0001-7370-1164; Kokhanovsky, Alexander/0000-0001-7110-223X;</t>
  </si>
  <si>
    <t>OPTICAL SOC AMER</t>
  </si>
  <si>
    <t>2010 MASSACHUSETTS AVE NW, WASHINGTON, DC 20036 USA</t>
  </si>
  <si>
    <t>1559-128X</t>
  </si>
  <si>
    <t>2155-3165</t>
  </si>
  <si>
    <t>APPL OPTICS</t>
  </si>
  <si>
    <t>Appl. Optics</t>
  </si>
  <si>
    <t>MAR 1</t>
  </si>
  <si>
    <t>10.1364/AO.43.001589</t>
  </si>
  <si>
    <t>Optics</t>
  </si>
  <si>
    <t>780JY</t>
  </si>
  <si>
    <t>WOS:000189378600016</t>
  </si>
  <si>
    <t>Fulton, JR; McKnight, DM; Foreman, CM; Cory, RM; Stedmon, C; Blunt, E</t>
  </si>
  <si>
    <t>Changes in fulvic acid redox state through the oxycline of a permanently ice-covered Antarctic lake</t>
  </si>
  <si>
    <t>AQUATIC SCIENCES</t>
  </si>
  <si>
    <t>Symposium on Biogeochemical Controls on the Mobility and Bioavailability of Metals in Soils and Groundwater</t>
  </si>
  <si>
    <t>MAR 02-07, 2003</t>
  </si>
  <si>
    <t>Monte Verita, SWITZERLAND</t>
  </si>
  <si>
    <t>humic substances; iron; manganese; redox; lakes</t>
  </si>
  <si>
    <t>DISSOLVED ORGANIC-MATTER; DRY VALLEY LAKES; HUMIC SUBSTANCES; FLUORESCENCE SPECTROSCOPY; FE(III) OXIDE; GEOBACTER-METALLIREDUCENS; ANAEROBIC RESPIRATION; ELECTRON-ACCEPTORS; REDUCTION; DYNAMICS</t>
  </si>
  <si>
    <t>The McMurdo Dry Valleys of Antarctica contain many permanently ice-covered lakes that support populations of algae and bacteria in the water column. In these lakes the concentration of dissolved organic carbon (DOC) is typically greatest at depth. In Lake Fryxell, the DOC concentration is 25 mg C/L at 18 m and 5 mg C/L at 5 m, just below the ice-cover. Dissolved humic substances account for about 20-24% of the DOC in the lake water. The DOC sources to the photic zone of this lake are streamflow, extracellular release by phytoplankton and benthic algal mats and upward diffusion across the oxycline at 9.5 m. Experiments with fulvic acids isolated from four depths show that these humic substances have the capacity to act as electron acceptors in the anoxic degradation of acetate by an iron-and humic-reducing microorganism. We used fluorescence spectroscopy to characterize the abundance and redox state of the quinone functional groups in the oxidized and reduced fulvic acids in these experiments and in filtered whole water samples from the lake. The fluorescence intensity of fulvic acid was greater in the oxycline and bottomwaters than in the photic zone. This result suggests that incorporation of quinone functional groups into humic substances may be enhanced in zones of high bacterial activity. Statistical analysis of the excitation emission matrices (EEMs) was used to evaluate trends in the fulvic acid redox state with depth. The results indicate that fulvic acid in the upper photic zone was in an oxidized state and that fulvic acid in the bottomwaters was in a reduced state. The shift in the EEMs indicating a more reduced state occurred in the vicinity of the oxycline (8 to 11 m). The shift in the EEMs began in the zone from 8 and 9 m, where dissolved oxygen concentrations range from to 5 and 10 mg L-1, suggesting that fulvic acid was oxidized upon upward diffusion from the oxycline. This oxidation may be an abiotic process in which reduced humic substances interact with ferric iron generated in this zone.</t>
  </si>
  <si>
    <t>Univ Colorado, Boulder, CO 80309 USA; Kings Coll London, London WC2R 2LS, England; Montana State Univ, Bozeman, MT 59717 USA; Natl Environm Res Inst, Frederiksborgvej, Denmark; Univ Massachusetts, Amherst, MA 01003 USA</t>
  </si>
  <si>
    <t>University of Colorado System; University of Colorado Boulder; University of London; King's College London; Montana State University System; Montana State University Bozeman; Aarhus University; University of Massachusetts System; University of Massachusetts Amherst</t>
  </si>
  <si>
    <t>McKnight, DM (corresponding author), Univ Colorado, Boulder, CO 80309 USA.</t>
  </si>
  <si>
    <t>Diane.McKnight@colorado.edu</t>
  </si>
  <si>
    <t>Cory, Rose M/C-2277-2009; Fulton, J./AAB-1222-2020; Stedmon, Colin Andrew/B-5841-2008</t>
  </si>
  <si>
    <t>Fulton, J./0000-0002-6370-6452; Stedmon, Colin Andrew/0000-0001-6642-9692; MCKNIGHT, DIANE/0000-0002-4171-1533; Foreman, Christine/0000-0003-0230-4692; Cory, Rose/0000-0001-9867-7084</t>
  </si>
  <si>
    <t>BIRKHAUSER VERLAG AG</t>
  </si>
  <si>
    <t>BASEL</t>
  </si>
  <si>
    <t>VIADUKSTRASSE 40-44, PO BOX 133, CH-4010 BASEL, SWITZERLAND</t>
  </si>
  <si>
    <t>1015-1621</t>
  </si>
  <si>
    <t>AQUAT SCI</t>
  </si>
  <si>
    <t>Aquat. Sci.</t>
  </si>
  <si>
    <t>10.1007/s00027-003-0691-4</t>
  </si>
  <si>
    <t>Environmental Sciences; Limnology; Marine &amp; Freshwater Biology</t>
  </si>
  <si>
    <t>Conference Proceedings Citation Index - Science (CPCI-S); Science Citation Index Expanded (SCI-EXPANDED)</t>
  </si>
  <si>
    <t>Environmental Sciences &amp; Ecology; Marine &amp; Freshwater Biology</t>
  </si>
  <si>
    <t>805DT</t>
  </si>
  <si>
    <t>WOS:000220347700004</t>
  </si>
  <si>
    <t>Curry, JA; Bentamy, A; Bourassa, MA; Bourras, D; Bradley, EF; Brunke, M; Castro, S; Chou, SH; Clayson, CA; Emery, WJ; Eymard, L; Fairall, CW; Kubota, M; Lin, B; Perrie, W; Reeder, RA; Renfrew, IA; Rossow, WB; Schulz, J; Smith, SR; Webster, PJ; Wick, GA; Zeng, X</t>
  </si>
  <si>
    <t>Seaflux</t>
  </si>
  <si>
    <t>BULLETIN OF THE AMERICAN METEOROLOGICAL SOCIETY</t>
  </si>
  <si>
    <t>SEA-SURFACE TEMPERATURE; LATENT-HEAT FLUX; BULK AERODYNAMIC ALGORITHMS; WIND-SPEED; SATELLITE SCATTEROMETER; TURBULENT FLUXES; AIR-TEMPERATURE; NEURAL-NETWORK; LABRADOR SEA; FRESH-WATER</t>
  </si>
  <si>
    <t>High-resolution surface fluxes over the global ocean are needed to evaluate coupled atmosphere-ocean models and weather forecasting models, provide surface forcing for ocean models, understand the regional and temporal variations of the exchange of heat between the atmosphere and ocean, and provide a large-scale context for field experiments. Under the auspices of the World Climate Research Programme (WCRP) Global Energy and Water Cycle Experiment (GEWEX) Radiation Panel, the SEAFLUX Project has been initiated to investigate producing a high-resolution satellite-based dataset of surface turbulent fluxes over the global oceans to complement the existing products for surface radiation fluxes and precipitation. The SEAFLUX Project includes the following elements: a library of in situ data, with collocated satellite data to be used in the evaluation and improvement of global flux products; organized intercomparison projects, to evaluate and improve bulk flux models and determination from the satellite of the input parameters; and coordinated evaluation of the flux products in the context of applications, such as forcing ocean models and evaluation of coupled atmosphere-ocean models. The objective of this paper is to present an overview of the status of global ocean surface flux products, the methodology being used by SEAFLUX, and the prospects for improvement of satellite-derived flux products.</t>
  </si>
  <si>
    <t>Georgia Inst Technol, Dept Earth &amp; Atmospher Sci, Atlanta, GA 30332 USA; IFREMER, Brest, France; Florida State Univ, Ctr Ocean Atmospher Predict Studies, Tallahassee, FL 32306 USA; CALTECH, Jet Prop Lab, Pasadena, CA USA; CSIRO Land &amp; Water, Canberra, ACT, Australia; Univ Arizona, Dept Atmospher Sci, Tucson, AZ USA; Univ Colorado, Dept Aerosp Engn Sci, Boulder, CO 80309 USA; NASA, Goddard Space Flight Ctr, Greenbelt, MD 20771 USA; CETP, IPSL, CNRS, Velizy Villacoublay, France; NOAA, ETL, Boulder, CO USA; Tokai Univ, Sch Marine Sci &amp; Technol, Shizuoka, Japan; NASA, Langley Res Ctr, Hampton, VA 23665 USA; Bedford Inst Oceanog, Dartmouth, NS, Canada; British Antarctic Survey, Div Phys Sci, Cambridge CB3 0ET, England; NASA, Goddard Inst Space Studies, New York, NY 10025 USA; Univ Bonn, Inst Meteorol, D-5300 Bonn, Germany</t>
  </si>
  <si>
    <t>University System of Georgia; Georgia Institute of Technology; Ifremer; State University System of Florida; Florida State University; National Aeronautics &amp; Space Administration (NASA); NASA Jet Propulsion Laboratory (JPL); California Institute of Technology; Commonwealth Scientific &amp; Industrial Research Organisation (CSIRO); CSIRO Land &amp; Water; University of Arizona; University of Colorado System; University of Colorado Boulder; National Aeronautics &amp; Space Administration (NASA); NASA Goddard Space Flight Center; Universite Paris Cite; Centre National de la Recherche Scientifique (CNRS); National Oceanic Atmospheric Admin (NOAA) - USA; Tokai University; National Aeronautics &amp; Space Administration (NASA); NASA Langley Research Center; Bedford Institute of Oceanography; UK Research &amp; Innovation (UKRI); Natural Environment Research Council (NERC); NERC British Antarctic Survey; National Aeronautics &amp; Space Administration (NASA); NASA Goddard Space Flight Center; Goddard Institute for Space Studies; University of Bonn</t>
  </si>
  <si>
    <t>Georgia Inst Technol, Dept Earth &amp; Atmospher Sci, Atlanta, GA 30332 USA.</t>
  </si>
  <si>
    <t>curryja@eas.gatech.edu</t>
  </si>
  <si>
    <t>Rossow, William B/F-3138-2015; Renfrew, Ian A/E-4057-2010; fairall, christopher/G-5970-2019; Smith, Shawn/AAW-9499-2021; Bourassa, Mark/Z-2428-2019; Clayson, Carol Anne/M-6579-2019; Castro, Sandra/A-4979-2012; Bradley, Frank/I-6574-2013; Emery, William/L-6179-2017</t>
  </si>
  <si>
    <t>fairall, christopher/0000-0003-4073-7413; Smith, Shawn/0000-0003-1392-3077; Emery, William/0000-0002-7598-9082; Zeng, Xubin/0000-0001-7352-2764; Renfrew, Ian/0000-0001-9379-8215</t>
  </si>
  <si>
    <t>0003-0007</t>
  </si>
  <si>
    <t>1520-0477</t>
  </si>
  <si>
    <t>B AM METEOROL SOC</t>
  </si>
  <si>
    <t>Bull. Amer. Meteorol. Soc.</t>
  </si>
  <si>
    <t>+</t>
  </si>
  <si>
    <t>10.1175/BAMS-85-3-409</t>
  </si>
  <si>
    <t>809AA</t>
  </si>
  <si>
    <t>Bronze, Green Accepted, Green Submitted</t>
  </si>
  <si>
    <t>WOS:000220608400022</t>
  </si>
  <si>
    <t>Endo, T; Haraguchi, K; Cipriano, F; Simmonds, MP; Hotta, Y; Sakata, M</t>
  </si>
  <si>
    <t>Contamination by mercury and cadmium in the cetacean products from Japanese market</t>
  </si>
  <si>
    <t>CHEMOSPHERE</t>
  </si>
  <si>
    <t>mercury; cadmium; liver; kidney; dolphin; whale</t>
  </si>
  <si>
    <t>HEAVY-METALS; STENELLA-COERULEOALBA; HUMAN CONSUMPTION; FRENCH ATLANTIC; MARINE MAMMALS; PILOT WHALES; DOLPHINS; SELENIUM; TISSUES; COAST</t>
  </si>
  <si>
    <t>Cetaceans hunted coastally in Japan include several species of odontocete (dolphins, porpoises and beaked whales), and fresh and frozen red meat and blubber, as well as boiled internal organs, such as liver, lung, kidney and small intestine, are still sold for human consumption. Furthermore, red meat and blubber products originating from mysticete minke whales caught in the Antarctic and Northern Pacific are also sold for human consumption. We surveyed mercury and cadmium contamination levels in boiled liver, lung, kidney and red meat products being marketed in Japanese retail outlets. We also analyzed the DNA of these products to obtain information concerning gender and species. Total mercury (T-Hg) and methyl mercury (M-Hg) contamination levels in all the cetacean products were markedly higher in odontocete species than in mysticete species, and slightly higher in females than in males. T-Hg contamination in the organs was seen in the following order: boiled liver &gt; boiled kidney = boiled lung &gt; red meat. In particular, T-Hg concentrations in the boiled liver were high enough to cause acute intoxication even from a single ingestion: the mean +/-SD (range) of T-Hg was 388+/-543 (0.12-1980) mug/wet g. In contrast, although M-Hg contamination in the liver was not markedly higher than that in other organs, M-Hg contamination was in the following order: boiled liver &gt; odontocete red meat &gt; boiled kidney &gt; boiled lung. The contamination levels of T-Hg and M-Hg in odontocete red meat, the most popular whale product, were 8.94+/-13.3 and 5.44+/-5.72 mug/wet g, respectively. These averages exceeded the provisional permitted levels of T-Hg (0.4 mug/wet g) and M-Hg (0.3 mug/wet g) in marine foods set by the Japanese Ministry of Health, Labor and Welfare by 22 and 18 times, respectively, suggesting the possibility of chronic intoxication by T-Hg and M-Hg with frequent consumption of odontocete red meat. Cadmium contamination levels in boiled liver, kidney and lung were 8.59+/-12.0, 10.4+/-8.6 and 1.66+/-1.27 (mug/wet g), respectively. (C) 2003 Elsevier Ltd. All rights reserved.</t>
  </si>
  <si>
    <t>Hlth Sci Univ Hokkaido, Fac Pharmaceut Sci, Ishikari, Hokkaido 0610293, Japan; Daiichi Coll Pharmaceut Sci, Minami Ku, Fukuoka 8158511, Japan; San Francisco State Univ, Conservat Genet Lab, San Francisco, CA 94123 USA; Univ Greenwich, Inst Nat Resources, Chatham ME4 4TB, Kent, England</t>
  </si>
  <si>
    <t>Health Sciences University of Hokkaido; California State University System; San Francisco State University; University of Greenwich</t>
  </si>
  <si>
    <t>Endo, T (corresponding author), Hlth Sci Univ Hokkaido, Fac Pharmaceut Sci, Ishikari, Hokkaido 0610293, Japan.</t>
  </si>
  <si>
    <t>endotty@hoku-iryo-u.ac.jp</t>
  </si>
  <si>
    <t>Endo, Tetsuya/0000-0003-4278-5689</t>
  </si>
  <si>
    <t>0045-6535</t>
  </si>
  <si>
    <t>Chemosphere</t>
  </si>
  <si>
    <t>10.1016/j.chemosphere.2003.09.029</t>
  </si>
  <si>
    <t>Environmental Sciences</t>
  </si>
  <si>
    <t>776RX</t>
  </si>
  <si>
    <t>WOS:000189132000008</t>
  </si>
  <si>
    <t>Wu, GJ; Yao, TD; Thompson, LG; Li, ZQ</t>
  </si>
  <si>
    <t>Microparticle record in the Guliya ice core and its comparison with polar records since the last interglacial</t>
  </si>
  <si>
    <t>CHINESE SCIENCE BULLETIN</t>
  </si>
  <si>
    <t>Guliya ice core; microparticle; central Asia and region; Tibetan plateau</t>
  </si>
  <si>
    <t>CLIMATE; GREENLAND</t>
  </si>
  <si>
    <t>Based on the study of oxygen isotope and microparticle in the Guliya ice core, atmospheric dust and environmental changes in the northwest Tibetan Plateau since the last interglacial were revealed. The microparticle record indicates that low dust load on the Plateau in the interglacial. Particle concentration increased rapidly when the climate turned into the last glacial and reached the maximum during the MIS 4. In the Last Glacial Maximum, however, the enhancement of microparticle concentration was slight, differing to those in the Antarctic and Greenland. On the orbital timescale, both the temperature on the Tibetan Plateau and summer solar insolation in the Northern Hemisphere had their impact on the microparticle record, but the difference in phase and amplitude also existed. Though having the same dust source, microparticle records in the ice cores on the Tibetan Plateau and the Greenland seem to have different significance.</t>
  </si>
  <si>
    <t>Chinese Acad Sci, Key Lab Ice Core &amp; Cold Reg Environm, CA REERI, Lanzhou 730000, Peoples R China; Ohio State Univ, Dept Geol Sci, Byrd Polar Res Ctr, Columbus, OH 43210 USA</t>
  </si>
  <si>
    <t>Chinese Academy of Sciences; University System of Ohio; Ohio State University</t>
  </si>
  <si>
    <t>Chinese Acad Sci, Key Lab Ice Core &amp; Cold Reg Environm, CA REERI, Lanzhou 730000, Peoples R China.</t>
  </si>
  <si>
    <t>wugj@ns.lzb.ac.cn</t>
  </si>
  <si>
    <t>1001-6538</t>
  </si>
  <si>
    <t>1861-9541</t>
  </si>
  <si>
    <t>CHINESE SCI BULL</t>
  </si>
  <si>
    <t>Chin. Sci. Bull.</t>
  </si>
  <si>
    <t>10.1360/03wd0419</t>
  </si>
  <si>
    <t>810SK</t>
  </si>
  <si>
    <t>WOS:000220723800014</t>
  </si>
  <si>
    <t>Madden, PW; Babcock, MJ; Vayda, ME; Cashon, RE</t>
  </si>
  <si>
    <t>Structural and kinetic characterization of myoglobins from eurythermal and stenothermal fish species</t>
  </si>
  <si>
    <t>COMPARATIVE BIOCHEMISTRY AND PHYSIOLOGY B-BIOCHEMISTRY &amp; MOLECULAR BIOLOGY</t>
  </si>
  <si>
    <t>adaptation; antarctic; functional stability; kinetics; modeling; myoglobin; teleost; temperature</t>
  </si>
  <si>
    <t>AMINO-ACID-SEQUENCE; LIGAND-BINDING; OXYGEN-AFFINITY; YELLOWFIN TUNA; D-HELIX; HEMOGLOBIN; RESOLUTION; DYNAMICS; GENE; MUTAGENESIS</t>
  </si>
  <si>
    <t>Teleost myoglobin (Mb) proteins from four fish species inhabiting different temperature environments were used to investigate the relationship between protein function and thermal stability Mb was isolated from yellowfin tuna (homeothermal warm), mackerel (eurythermal warm), and the Antarctic teleost Notothenia coriiceps (stenothermal cold). Zebrafish (stenothermal tropical) myoglobin was expressed from cloned cDNA. These proteins differed in oxygen affinity, as measured by O-2 dissociation rates and P-50 values, and thermal stability as measured by autooxidation rates. Mackerel Mb had the highest P-50 value at 25 degreesC (3.7 mmHg), corresponding to the lowest O-2 affinity, followed by zebrafish (1.0 mmHg), yellowfin tuna (1.0 mmHg), and N. coriiceps (0.6 mmHg). Oxygen dissociation rates and Arrhenius plots were similar between all teleost species in this study, with the exception of mackerel myoglobin, which was two-fold faster at all temperatures tested. Myoglobin from the Antarctic teleost had the highest autooxidation rate (0.44 h(-1)), followed by mackerel (0.26 h(-1)), zebrafish (0.22 h(-1)), and yellowfin tuna (0.088 h(-1)). Primary structural analysis revealed residue differences distributed throughout the polypeptide sequences, making it difficult to identify, which, if any, residues contribute to structural flexibility. However, analysis of molecular dynamics trajectories indicates that Mb from the eurythermal mackerel is predicted to be the most flexible protein within the D loop and FG turn. At the same time, it has the lowest O-2 affinity and the highest O-2 dissociation rates when compared to myoglobins from teleosts that appear to be less flexible in our dynamics simulations. (C) 2004 Elsevier Inc. All rights reserved.</t>
  </si>
  <si>
    <t>Univ Maine, Dept Biochem Microbiol &amp; Mol Biol, Orono, ME 04469 USA</t>
  </si>
  <si>
    <t>University of Maine System; University of Maine Orono</t>
  </si>
  <si>
    <t>Univ Maine, Dept Biochem Microbiol &amp; Mol Biol, 5735 Hitchner Hall, Orono, ME 04469 USA.</t>
  </si>
  <si>
    <t>reashon@maine.edu</t>
  </si>
  <si>
    <t>1096-4959</t>
  </si>
  <si>
    <t>1879-1107</t>
  </si>
  <si>
    <t>COMP BIOCHEM PHYS B</t>
  </si>
  <si>
    <t>Comp. Biochem. Physiol. B-Biochem. Mol. Biol.</t>
  </si>
  <si>
    <t>10.1016/j.cbpc.2003.12.008</t>
  </si>
  <si>
    <t>Biochemistry &amp; Molecular Biology; Zoology</t>
  </si>
  <si>
    <t>810CD</t>
  </si>
  <si>
    <t>WOS:000220681500006</t>
  </si>
  <si>
    <t>Tornero, V; Borrell, A; Forcada, J; Pubill, E; Aguilar, A</t>
  </si>
  <si>
    <t>Retinoid and lipid patterns in the blubber of common dolphins (Delphinus delphis):: implications for monitoring vitamin A status</t>
  </si>
  <si>
    <t>retinoids; lipid content; common dolphin; marine mammals; blubber; lipophilicity; biomarker; north-western Spain</t>
  </si>
  <si>
    <t>SEAL PHOCA-VITULINA; FISH-BASED DIETS; TOPOGRAPHICAL DISTRIBUTION; A(2) 3,4-DIDEHYDRORETINOL; FRACTIONS THEREOF; PHOCOENA-PHOCOENA; BODY CONDITION; A(1) RETINOL; FATTY-ACIDS; GREY SEALS</t>
  </si>
  <si>
    <t>We determined retinoid concentrations in various body positions of the blubber of 25 common dolphins (Delphinus delphis) to study topographical variation in concentrations. Specimens were obtained from incidental catches and were apparently healthy. We found concentrations to be high and therefore conclude that blubber represents a significant contribution to total retinoid body load. Consequently, blubber is proposed as a tissue of choice for monitoring retinoid status in this species. Anterior-ventral blubber had the highest vitamin A concentration and posterior-dorsal the lowest. Therefore, when assessing retinoid status, topographical variation should be taken into account to ensure consistent sampling. This pattern appeared to be explained by a parallel variation in lipid content. Thus, the dynamics and body distribution of retinoids appear to be basically governed by the lipophilicity of the molecules. The highest lipid richness found in the anterior-ventral region might indicate that this region is comparatively more important for insulation and lipid storage than the dorsal posterior region. Retinoid levels did not appear to vary according to sex, but they did vary with lipid content. This should be taken into account when designing sampling protocols; for monitoring purposes, biopsies from healthy, free-ranging individuals should be preferred to samples from stranded animals. (C) 2004 Elsevier Inc. All rights reserved.</t>
  </si>
  <si>
    <t>Univ Barcelona, Fac Biol, Dept Anim Biol Vertebrates, E-08071 Barcelona, Spain; British Antarctic Survey, NERC, Div Biol Sci, Cambridge CB3 0ET, England</t>
  </si>
  <si>
    <t>University of Barcelona; UK Research &amp; Innovation (UKRI); Natural Environment Research Council (NERC); NERC British Antarctic Survey</t>
  </si>
  <si>
    <t>Univ Barcelona, Fac Biol, Dept Anim Biol Vertebrates, Diagonal 645, E-08071 Barcelona, Spain.</t>
  </si>
  <si>
    <t>victoriatornero@ub.edu</t>
  </si>
  <si>
    <t>Tornero, Victoria/GPP-1018-2022; Aguilar, Alex/L-1283-2014; Vivia, Ariel/JAO-4693-2023; Borrell, Asunción/B-8257-2009</t>
  </si>
  <si>
    <t>Tornero, Victoria/0000-0002-1265-551X; Aguilar, Alex/0000-0002-5751-2512; Borrell, Asunción/0000-0002-6714-0724</t>
  </si>
  <si>
    <t>STE 800, 230 PARK AVE, NEW YORK, NY 10169 USA</t>
  </si>
  <si>
    <t>10.1016/j.cbpc.2004.01.001</t>
  </si>
  <si>
    <t>WOS:000220681500011</t>
  </si>
  <si>
    <t>Singh, UK; Das, RK; Hodlur, GK</t>
  </si>
  <si>
    <t>Significance of Dar-Zarrouk parameters in the exploration of quality affected coastal aquifer systems</t>
  </si>
  <si>
    <t>ENVIRONMENTAL GEOLOGY</t>
  </si>
  <si>
    <t>Dar-Zarrouk parameters (D-Z); longitudinal conductance; transverse resistance; longitudinal resistivity; saline water; fresh water</t>
  </si>
  <si>
    <t>The interpreted Earth subsurface resistivity layer parameters of 55 vertical geoelectrical soundings are analyzed over a fan shaped area of 1,700 km 2 from Pipli-Astrang-Bhramgiri, Orissa, India. In this study, Dar-Zarrouk (D-Z) parameters, namely the longitudinal conductance (S), transverse resistance (T) and longitudinal resistivity (R-s) are analyzed and we encountered the resistivity regime of the clay layers, saline and fresh water bearing formations. The significance of these parameters in establishing an easily decipherable vision about the occurrence and distribution of fresh and saline water aquifers, while dealing with complicated situations of intermixing of the resistivity ranges of saline and fresh water aquifers has been illustrated. The results show that the Dar-Zarrouk (D-Z) parameters provide a useful and confident solution in delineating the saline and fresh water aquifers. The behavior of the D-Z parameters S, T and R,, and its patterns in space over large areas with respect to the occurrence of saline water and fresh water aquifer systems in the deltaic coastal aquifer system has been demonstrated.</t>
  </si>
  <si>
    <t>Natl Ctr Antarctic &amp; Ocean Res, Vasco Da Gama 403804, Goa, India; Natl Geophys Res Inst, Hyderabad 500007, Andhra Pradesh, India</t>
  </si>
  <si>
    <t>Ministry of Earth Sciences (MoES) - India; National Centre for Polar and Ocean Research (NCPOR); Council of Scientific &amp; Industrial Research (CSIR) - India; CSIR - National Geophysical Research Institute (NGRI)</t>
  </si>
  <si>
    <t>Natl Ctr Antarctic &amp; Ocean Res, Vasco Da Gama 403804, Goa, India.</t>
  </si>
  <si>
    <t>upendra_ngri@rediffmail.com</t>
  </si>
  <si>
    <t>Singh, Upendra K/AAF-9442-2021</t>
  </si>
  <si>
    <t>0943-0105</t>
  </si>
  <si>
    <t>ENVIRON GEOL</t>
  </si>
  <si>
    <t>Environ. Geol.</t>
  </si>
  <si>
    <t>10.1007/s00254-003-0925-8</t>
  </si>
  <si>
    <t>Environmental Sciences; Geosciences, Multidisciplinary; Water Resources</t>
  </si>
  <si>
    <t>Environmental Sciences &amp; Ecology; Geology; Water Resources</t>
  </si>
  <si>
    <t>807RX</t>
  </si>
  <si>
    <t>WOS:000220519700011</t>
  </si>
  <si>
    <t>Webster, NS; Negri, AP; Munro, MMHG; Battershill, CN</t>
  </si>
  <si>
    <t>Diverse microbial communities inhabit Antarctic sponges</t>
  </si>
  <si>
    <t>ENVIRONMENTAL MICROBIOLOGY</t>
  </si>
  <si>
    <t>CORAL-REEF SPONGES; 16S RIBOSOMAL-RNA; COMPARATIVE SEQUENCE-ANALYSIS; MARINE SPONGE; RHOPALOEIDES ODORABILE; PHYLOGENETIC TREES; BACTERIAL; ASSOCIATIONS; POPULATIONS; ARCHAEA</t>
  </si>
  <si>
    <t>Genetic techniques were employed to investigate the archaeal, bacterial and eukaryotic communities associated with the Antarctic sponges Kirkpatrickia varialosa, Latrunculia apicalis, Homaxinella balfourensis, Mycale acerata and Sphaerotylus antarcticus. The phylogenetic affiliation of sponge-derived bacteria was assessed by 16S rRNA sequencing of cloned DNA fragments. Denaturing gradient gel electrophoresis (DGGE) was used to determine the stability of bacterial associations within each sponge species and across spatial scales. Of the 150 archaeal clones from L. apicalis, K. varialosa and M. acerata screened by restriction fragment length polymorphism (RFLP) analysis, four unique operational taxonomic units (OTUs) were observed and all clustered closely together within the Crenarchaeota. Of the 250 sponge-derived bacterial clones screened by RFLP analysis, 61 were unique OTUs that were not detected during examination of 160 seawater-derived clones. Rarefaction analysis indicated that the clone libraries represented between 44 and 83% of the total estimated diversity. Phylogenetic analysis of sequence data revealed that the bacterial communities present in Antarctic sponges primarily clustered within the Gamma and Alpha proteobacteria and the Cytophaga/Flavobacterium of Bacteroidetes group. Bacterial DGGE analysis for replicate sponge and seawater samples at each Antarctic site revealed that bacterial communities were consistently detected within a particular species regardless of the collection site, with six bacterial bands exclusively associated with a single sponge species. Phylogenetic analysis of sequence data from eukaryotic DGGE analysis revealed that the communities present in Antarctic sponges fell into diatom and dinoflagellate clusters with many sequences having no known close relatives. In addition, seven eukaryotic sequences that were not detected in seawater samples or other sponge species were observed in K. varialosa.</t>
  </si>
  <si>
    <t>Univ Canterbury, Dept Biol Sci, Christchurch 1, New Zealand; Australian Inst Marine Sci, Townsville, Qld 4810, Australia; Univ Canterbury, Dept Chem, Christchurch 1, New Zealand</t>
  </si>
  <si>
    <t>University of Canterbury; Australian Institute of Marine Science; University of Canterbury</t>
  </si>
  <si>
    <t>Webster, NS (corresponding author), Univ Canterbury, Dept Biol Sci, Christchurch 1, New Zealand.</t>
  </si>
  <si>
    <t>n.webster@aims.gov.au</t>
  </si>
  <si>
    <t>Webster, Nicole/G-4980-2011; Battershill, Christopher/G-2663-2013; Negri, Andrew/G-9909-2017</t>
  </si>
  <si>
    <t>Webster, Nicole/0000-0002-4753-5278; Battershill, Christopher/0000-0002-5586-0417; Munro, Murray/0000-0001-9201-6170; Negri, Andrew/0000-0003-1388-7395</t>
  </si>
  <si>
    <t>BLACKWELL PUBLISHING LTD</t>
  </si>
  <si>
    <t>9600 GARSINGTON RD, OXFORD OX4 2DG, OXON, ENGLAND</t>
  </si>
  <si>
    <t>1462-2912</t>
  </si>
  <si>
    <t>ENVIRON MICROBIOL</t>
  </si>
  <si>
    <t>Environ. Microbiol.</t>
  </si>
  <si>
    <t>10.1111/j.1462-2920.2004.00570.x</t>
  </si>
  <si>
    <t>772BM</t>
  </si>
  <si>
    <t>WOS:000188820700010</t>
  </si>
  <si>
    <t>Aislabie, JM; Balks, MR; Foght, JM; Waterhouse, EJ</t>
  </si>
  <si>
    <t>Hydrocarbon spills on Antarctic soils: Effects and management</t>
  </si>
  <si>
    <t>ENVIRONMENTAL SCIENCE &amp; TECHNOLOGY</t>
  </si>
  <si>
    <t>POLYCYCLIC AROMATIC-HYDROCARBONS; PETROLEUM-HYDROCARBONS; DIESEL FUEL; CONTAMINATED SOILS; VESTFOLD HILLS; DAVIS-STATION; SCOTT BASE; BIOREMEDIATION; SITE; BIODEGRADATION</t>
  </si>
  <si>
    <t>Antarctic exploration and research have led to some significant although localized impacts on the environment. Human impacts Occur around current or past scientific research stations, typically located on ice-free areas that are predominantly soils. Fuel spills, the most common occurrence, have the potential to cause the greatest environmental impact in the Antarctic through accumulation of aliphatic and aromatic compounds. Effective management of hydrocarbon spills is dependent on understanding how they impact soil properties such as moisture, hydrophobicity, soil temperature, and microbial activity. Numbers of hydrocarbon-degrading bacteria, typically Rhodococcus, Sphingomonas, and Pseudomonas species for example, may become elevated in contaminated soils, but overall microbial diversity declines. Alternative management practices to the current approach of dig it up and ship it out are required but must be based on sound information. This review summarizes current understanding of the extent and effects of hydrocarbon spillage on Antarctic soils; the observed physical, chemical, and biological responses of such soils; and current gaps in knowledge.</t>
  </si>
  <si>
    <t>Landcare Res, Hamilton, New Zealand; Univ Waikato, Dept Earth Sci, Hamilton, New Zealand; Univ Alberta, Dept Biol Sci, Edmonton, AB T6G 2E9, Canada; New Zealand Antarctic Inst, Christchurch, New Zealand</t>
  </si>
  <si>
    <t>Landcare Research - New Zealand; University of Waikato; University of Alberta</t>
  </si>
  <si>
    <t>Landcare Res, Private Bag 3127, Hamilton, New Zealand.</t>
  </si>
  <si>
    <t>aislabiej@landcareresearch.co.nz</t>
  </si>
  <si>
    <t>Foght, Julia/A-2638-2014</t>
  </si>
  <si>
    <t>Foght, Julia/0000-0002-8614-3875</t>
  </si>
  <si>
    <t>AMER CHEMICAL SOC</t>
  </si>
  <si>
    <t>1155 16TH ST, NW, WASHINGTON, DC 20036 USA</t>
  </si>
  <si>
    <t>0013-936X</t>
  </si>
  <si>
    <t>1520-5851</t>
  </si>
  <si>
    <t>ENVIRON SCI TECHNOL</t>
  </si>
  <si>
    <t>Environ. Sci. Technol.</t>
  </si>
  <si>
    <t>10.1021/es0305149</t>
  </si>
  <si>
    <t>Engineering, Environmental; Environmental Sciences</t>
  </si>
  <si>
    <t>Engineering; Environmental Sciences &amp; Ecology</t>
  </si>
  <si>
    <t>780FC</t>
  </si>
  <si>
    <t>WOS:000189360800013</t>
  </si>
  <si>
    <t>Sabbe, K; Hodgson, DA; Verleyen, E; Taton, A; Wilmotte, A; Vanhoutte, K; Vyverman, W</t>
  </si>
  <si>
    <t>Salinity, depth and the structure and composition of microbial mats in continental Antarctic lakes</t>
  </si>
  <si>
    <t>FRESHWATER BIOLOGY</t>
  </si>
  <si>
    <t>Antarctica; conductivity; cyanobacteria; diatom; microbial mat</t>
  </si>
  <si>
    <t>KING-GEORGE ISLAND; MCMURDO-ICE-SHELF; WEIGHTED-AVERAGING REGRESSION; SEDIMENT DIATOM ASSEMBLAGES; STROMNESS BAY AREA; FRESH-WATER; VESTFOLD HILLS; MICROCOLEUS-CHTHONOPLASTES; LIMNOLOGICAL PROPERTIES; CALIBRATION MODEL</t>
  </si>
  <si>
    <t>1. Lakes and ponds in the Larsemann Hills and Bolingen Islands (East-Antarctica) were characterised by cyanobacteria-dominated, benthic microbial mats. A 56-lake dataset representing the limnological diversity among the more than 150 lakes and ponds in the region was developed to identify and quantify the abiotic conditions associated with cyanobacterial and diatom communities. 2. Limnological diversity in the lakes of the Larsemann Hills and Bolingen Islands was associated primarily with conductivity and conductivity-related variables (concentrations of major ions and alkalinity), and variation in lake morphometry (depth, catchment and lake area). Low concentrations of pigments, phosphate, nitrogen, DOC and TOC in the water column of most lakes suggest extremely low water column productivity and hence high water clarity, and may thus contribute to the ecological success of benthic microbial mats in this region. 3. Benthic communities consisted of prostrate and sometimes finely laminated mats, flake mats, epilithic and interstitial microbial mats. Mat physiognomy and carotenoid/chlorophyll ratios were strongly related to lake depth, but not to conductivity. 4. Morphological-taxonomic analyses revealed the presence of 26 diatom morphospecies and 33 cyanobacterial morphotypes. Mats of shallow lakes (interstitial and flake mats) and those of deeper lakes (prostrate mats) were characterised by different dominant cyanobacterial morphotypes. No relationship was found between the distribution of these morphotypes and conductivity. In contrast, variation in diatom species composition was strongly related to both lake depth and conductivity. Shallow ponds were mainly characterised by aerial diatoms (e.g. Diadesmis cf. perpusilla and Hantzschia spp.). In deep lakes, communities were dominated by Psammothidium abundans and Stauroforma inermis. Lakes with conductivities higher than +/-1.5 mS cm(-1) became susceptible to freezing out of salts and hence pronounced conductivity fluctuations. In these lakes P. abundans and S. inermis were replaced by Amphora veneta. Stomatocysts were important only in shallow freshwater lakes. 5. Ice cover influenced microbial mat structure and composition both directly by physical disturbance in shallow lakes and by influencing light availability in deeper lakes, as well as indirectly by generating conductivity increases and promoting the development of seasonal anoxia. 6. The relationships between diatom species composition and conductivity, and diatom species composition and depth, were statistically significant. Transfer functions based on these data can therefore be used in paleolimnological reconstruction to infer changes in the precipitation-evaporation balance in continental Antarctic lakes.</t>
  </si>
  <si>
    <t>Univ Ghent, Dept Biol, Lab Protisol &amp; Aquat Ecol, B-9000 Ghent, Belgium; British Antarctic Survey, NERC, Cambridge CB3 0ET, England; Univ Liege, Inst Chem B6, Ctr Prot Engn, Liege, Belgium; Univ Liege, Inst Bot, Lab Algol Mycol &amp; Expt Systemat, Liege, Belgium</t>
  </si>
  <si>
    <t>Ghent University; UK Research &amp; Innovation (UKRI); Natural Environment Research Council (NERC); NERC British Antarctic Survey; University of Liege; University of Liege</t>
  </si>
  <si>
    <t>Univ Ghent, Dept Biol, Lab Protisol &amp; Aquat Ecol, Krijgslaan 281-S8, B-9000 Ghent, Belgium.</t>
  </si>
  <si>
    <t>koen.sabbe@ugent.be</t>
  </si>
  <si>
    <t>Wilmotte, Annick/H-1686-2011; Dasseville, Renaat/B-3561-2010</t>
  </si>
  <si>
    <t>Wilmotte, Annick/0000-0003-3546-3489</t>
  </si>
  <si>
    <t>0046-5070</t>
  </si>
  <si>
    <t>1365-2427</t>
  </si>
  <si>
    <t>FRESHWATER BIOL</t>
  </si>
  <si>
    <t>Freshw. Biol.</t>
  </si>
  <si>
    <t>10.1111/j.1365-2427.2004.01186.x</t>
  </si>
  <si>
    <t>Ecology; Marine &amp; Freshwater Biology</t>
  </si>
  <si>
    <t>774NP</t>
  </si>
  <si>
    <t>WOS:000188989600007</t>
  </si>
  <si>
    <t>Obata, H; Nozaki, Y; Alibo, DS; Yamamoto, Y</t>
  </si>
  <si>
    <t>Dissolved Al, In, and Ce in the eastern Indian Ocean and the Southeast Asian Seas in comparison with the radionuclides 210Pb and 210Po</t>
  </si>
  <si>
    <t>GEOCHIMICA ET COSMOCHIMICA ACTA</t>
  </si>
  <si>
    <t>RARE-EARTH-ELEMENTS; SURFACE WATERS; BIOGENIC SILICA; NORTH-ATLANTIC; CHINA SEA; ALUMINUM; SEAWATER; PACIFIC; SEDIMENTS; RA-228</t>
  </si>
  <si>
    <t>To carry out comparative geochemical investigation of refractory and reactive metals in different oceanic settings covering different theta-S characteristics, productivity, dissolved oxygen profiles, water and sediment discharge, etc., we have determined the vertical profiles of dissolved (&lt;0.04 mum) Al, In and Ce, as well as Pb-210 and Po-210 in the eastern Indian Ocean (from 40degreesS in the Southern Ocean to 8degreesN in the Bay of Bengal) and the Southeast Asian Seas. In the Antarctic Circumpolar Region, the concentrations of these refractory metals are very low, presumably due to very low the atmospheric input and intensified scavenging. Resemblance in the vertical profiles of these metals is often seen in some other stations. However, there are also significant differences among their distributions, for example, in the magnitude of surface enrichment caused by the external input from eolian and fluvial-coastal sources. Comparison of Al distributions in surface waters with those of atmospherically derived Pb-210 suggests the relative importance of eolian input over fluvial-coastal sources. Fluvial and coastal input appears to be insignificant for dissolved In, but may be important for Ce. The mean residence time of Al in the surface mixed layer was estimated to be similar to2 years which is similar to that of Pb-210. In the intermediate and deep waters, the concentrations of each element vary with depth and location. The range of variation is in the order of Al&gt;Ce&gt;In, depending upon particle reactivity. Although dissolved Al decreases along the water trajectory by particle scavenging, variations of dissolved In and Cc are relatively small which may be due to less scavenging for both elements. Compared with significantly high (&gt;4 pM) dissolved Ce throughout the water column in the Bay of Bengal, dissolved Al concentration remains low, suggesting that it has higher affinity to particles and hence is scavenged by sinking particulate matter. This is consistent with the observation that the dissolved Al in the Antarctic Intermediate Water (AAIW) decreases from 4 to 6 nM in the 30degreesS Perth Basin to &lt;0.7 nM in the 10degreesS West Australia Basin along its trajectory. Using the chlorofluorocarbons (CFCs) ventilation age of AAIW (Fine, 1993), the mean residence time of Al in the intermediate and deep waters in the eastern Indian Ocean is estimated to be &lt;17 yr, approximately the same as that of Pb-210 (10-15 yr). In the semiclosed basins of Southeast Asia, the distributions of Al, In and Ce are also very unique. In the South China Sea, there is a strong sediment source for dissolved In and Ce during the deepwater passage through the Luzon Strait. Copyright (C) 2004 Elsevier Ltd.</t>
  </si>
  <si>
    <t>Univ Tokyo, Ocean Res Inst, Marine Inorgan Chem Div, Nakano Ku, Tokyo 1648639, Japan</t>
  </si>
  <si>
    <t>University of Tokyo</t>
  </si>
  <si>
    <t>Univ Tokyo, Ocean Res Inst, Marine Inorgan Chem Div, Nakano Ku, Tokyo 1648639, Japan.</t>
  </si>
  <si>
    <t>obata@ori.u-tokyo.ac.jp</t>
  </si>
  <si>
    <t>0016-7037</t>
  </si>
  <si>
    <t>1872-9533</t>
  </si>
  <si>
    <t>GEOCHIM COSMOCHIM AC</t>
  </si>
  <si>
    <t>Geochim. Cosmochim. Acta</t>
  </si>
  <si>
    <t>10.1016/j.gca.2003.07.021</t>
  </si>
  <si>
    <t>774WP</t>
  </si>
  <si>
    <t>WOS:000189009600008</t>
  </si>
  <si>
    <t>Miller, KG; Sugarman, PJ; Browning, JV; Kominz, MA; Olsson, RK; Feigenson, MD; Hernández, JC</t>
  </si>
  <si>
    <t>Upper Cretaceous sequences and sea-level history, New Jersey Coastal Plain</t>
  </si>
  <si>
    <t>GEOLOGICAL SOCIETY OF AMERICA BULLETIN</t>
  </si>
  <si>
    <t>eustasy; sequence stratigraphy; sea-level history; New Jersey Coastal Plain; Late Cretaceous; backstripping</t>
  </si>
  <si>
    <t>STRONTIUM ISOTOPE STRATIGRAPHY; INTERCONTINENTAL CORRELATION; NUMERICAL CALIBRATION; BASS RIVER; EUSTASY; MARGIN; CURVE; ICE; SR; RECORD</t>
  </si>
  <si>
    <t>We developed a Late Cretaceous sealevel estimate from Upper Cretaceous sequences at Bass River and Ancora, New Jersey (ODP [Ocean Drilling Program] Leg 174AX). We dated 11-14 sequences by integrating Sr isotope and biostratigraphy (age resolution +/-0.5 m.y.) and then estimated paleoenvironmental changes within the sequences from lithofacies and biofacies analyses. Sequences generally shallow upsection from middle-neritic to inner-neritic paleodepths, as shown by the transition from thin basal glauconite shelf sands (transgressive systems tracts [TST]), to medial-prodelta silty clays (highstand systems tracts [HST]), and finally to upper-delta-front quartz sands (HST). Sea-level estimates obtained by backstripping (accounting for paleodepth variations, sediment loading, compaction, and basin subsidence) indicate that large (&gt;25 m) and rapid (much less than1 m.y.) sea-level variations occurred during the Late Cretaceous greenhouse world. The fact that the timing of Upper Cretaceous sequence boundaries in New Jersey is similar to the sea-level lowering records of Exxon Production Research Company (EPR), northwest European sections, and Russian platform outcrops points to a global cause. Because backstripping, seismicity, seismic stratigraphic data, and sediment-distribution patterns all indicate minimal tectonic effects on the New Jersey Coastal Plain, we interpret that we have isolated a eustatic signature. The only known mechanism that can explain such global changes-glacio-eustasy-is consistent with foraminiferal delta(18)O data. Either continental ice sheets paced sea-level changes during the Late Cretaceous, or our understanding of causal mechanisms for global sea-level change is fundamentally flawed. Comparison of our eustatic history with published ice-sheet models and Milankovitch predictions suggests that small (5-10 x 10(6) km(3)), ephemeral, and areally restricted Antarctic ice sheets paced the Late Cretaceous global sea-level change. New Jersey and Russian eustatic estimates are typically one-half of the EPR amplitudes, though this difference varies through time, yielding markedly different eustatic curves. We conclude that New Jersey provides the best available estimate for Late Cretaceous sea-level variations.</t>
  </si>
  <si>
    <t>Rutgers State Univ, Dept Geol Sci, Piscataway, NJ 08854 USA; New Jersey Geol Sci, Trenton, NJ 08625 USA; Western Michigan Univ, Dept Geosci, Kalamazoo, MI 49008 USA</t>
  </si>
  <si>
    <t>Rutgers University System; Rutgers University New Brunswick; Western Michigan University</t>
  </si>
  <si>
    <t>Miller, KG (corresponding author), Rutgers State Univ, Dept Geol Sci, Piscataway, NJ 08854 USA.</t>
  </si>
  <si>
    <t>kgm@rci.rutgers.edu</t>
  </si>
  <si>
    <t>kominz, michelle/0000-0002-8640-2742</t>
  </si>
  <si>
    <t>GEOLOGICAL SOC AMER, INC</t>
  </si>
  <si>
    <t>BOULDER</t>
  </si>
  <si>
    <t>PO BOX 9140, BOULDER, CO 80301-9140 USA</t>
  </si>
  <si>
    <t>0016-7606</t>
  </si>
  <si>
    <t>1943-2674</t>
  </si>
  <si>
    <t>GEOL SOC AM BULL</t>
  </si>
  <si>
    <t>Geol. Soc. Am. Bull.</t>
  </si>
  <si>
    <t>MAR-APR</t>
  </si>
  <si>
    <t>10.1130/B25279.1</t>
  </si>
  <si>
    <t>779JM</t>
  </si>
  <si>
    <t>WOS:000189291600008</t>
  </si>
  <si>
    <t>Singer, BS; Ackert, RP; Guillou, H</t>
  </si>
  <si>
    <t>40Ar/19Ar and K-Ar chronology of Pleistocene glaciations in Patagonia</t>
  </si>
  <si>
    <t>South America; ice ages; 40Ar/39Ar; paleoclimatology; geochronology; glacial geology</t>
  </si>
  <si>
    <t>LAGO BUENOS-AIRES; QUATERNARY GLACIATIONS; SOUTHERN ARGENTINA; COSMOGENIC HE-3; CLIMATE-CHANGE; 40AR/39AR; PALEOCLIMATE; ANTARCTICA; HISTORY; AGES</t>
  </si>
  <si>
    <t>During the Pleistocene, east of Lago Buenos Aires, Argentina, at 46.5degreesS, at least 19 terminal moraines were deposited as piedmont glaciers from the Patagonian ice cap advanced onto the semi-arid high plains adjacent to the southern Andes. Exceptional preservation of these deposits offers a rare opportunity to document ice-cap fluctuations during the last 1.2 m.y. 40Ar/ 39Ar incremental-heating and unspiked K-Ar experiments on four basaltic lava flows interbedded with the moraines provide a chronologic framework for the entire glacial sequence. The 40Ar/39Ar isochron ages of three lavas that overlie till 90 km east of the Cordillera at Lago Buenos Aires, and another 120 km from the Andes along Rio Gallegos at 51.8degreesS that underlies till, strongly suggest that the ice cap reached its greatest eastward extent ca. 1100 ka. At least six moraines were deposited within the 256 k.y. period bracketed by basaltic eruptions at 1016 +/- 10 ka and 760 +/- 14 ka. Similarly, six younger, more proximal moraines were deposited during an similar to651 k.y. period bracketed by an underlying 760 14 ka basalt and the 109 +/- 3 ka Cerro Volcan basalt flow that buried all six moraines. Coupled with in situ cosmogenic surface exposure ages of moraine boulders, the 109 ka age of Cerro Volcan implies that moraines deposited during the penultimate local glaciation correspond to marine oxygen isotope stage 6. Further westward toward Lago Buenos Aires, six additional moraines younger than the Cerro Volcan basalt flow occur. Surface exposure dating of boulders on these moraines, combined with the C-14 age of overlying varved lacustrine sediment, indicates deposition during the Last Glacial Maximum (LGM, 23-16 ka). Although Antarctic dust records signal an important Patagonian glaciation at 60-40 ka, moraines corresponding to marine oxygen isotope stage 4 are not preserved at Lago Buenos Aires; apparently, these were overrun and obliterated by the younger ice advance at 23 ka. Notwithstanding, the overall pattern of glaciation in Patagonia is one of diminishing eastward extent of ice during successive glacial advances over the past 1 m.y. We hypothesize that tectonically driven uplift of the Patagonian Andes, which began in the Pliocene, yet continued into the Quaternary, in part due to subduction of the Chile rise spreading center during the past 2 m.y., maximized the ice accumulation area and ice extent by 1.1 Ma. Subsequent deep glacial erosion has reduced the accumulation area, resulting in less extensive glaciers over time.</t>
  </si>
  <si>
    <t>Univ Wisconsin, Dept Geol &amp; Geophys, Madison, WI 53706 USA; Woods Hole Oceanog Inst, Dept Marine Chem &amp; Geochem, Woods Hole, MA 02543 USA; CNRS, Lab Sci Climat &amp; Environm, F-91198 Gif Sur Yvette, France</t>
  </si>
  <si>
    <t>University of Wisconsin System; University of Wisconsin Madison; Woods Hole Oceanographic Institution; Universite Paris Saclay; CEA; Centre National de la Recherche Scientifique (CNRS)</t>
  </si>
  <si>
    <t>Univ Wisconsin, Dept Geol &amp; Geophys, 1215 W Dayton St, Madison, WI 53706 USA.</t>
  </si>
  <si>
    <t>bsinger@geology.wisc.edu; rackert@whoi.edu; guillou@lsce.cnrs-gif.fr</t>
  </si>
  <si>
    <t>Singer, Bradley/F-4991-2012; Singer, Brad S/HNC-4900-2023</t>
  </si>
  <si>
    <t>Singer, Bradley/0000-0003-3595-5168; Singer, Brad S/0000-0003-3595-5168; Guillou, Herve/0000-0002-4811-7668</t>
  </si>
  <si>
    <t>10.1130/B25177.1</t>
  </si>
  <si>
    <t>WOS:000189291600012</t>
  </si>
  <si>
    <t>Taylor, J; Siegert, MJ; Payne, AJ; Hambrey, MJ; O'Brien, PE; Cooper, AK; Leitchenkov, G</t>
  </si>
  <si>
    <t>Topographic controls on post-Oligocene changes in ice-sheet dynamics, Prydz Bay region, East Antarctica</t>
  </si>
  <si>
    <t>GEOLOGY</t>
  </si>
  <si>
    <t>Antarctica; ice sheets; numerical models; Miocene; Pliocene</t>
  </si>
  <si>
    <t>Within the general trend of post-Eocene cooling, the largest and oldest outlet of the East Antarctic Ice Sheet underwent a change from ice-cliff to ice-stream and/or ice-shelf dynamics, with an associated switch from line-source to fan sedimentation. Available geological data reveal little about the causes of these changes in ice dynamics during the Miocene Epoch, or the subsequent effects on Pliocene-Pleistocene ice-sheet history. Ice-sheet numerical modeling reveals that bed morphology was probably responsible for driving changes in both ice-sheet extent and dynamics in the Lambert-Amery system at Prydz Bay. The modeling shows how the topography and bathymetry of the Lambert graben and Prydz Bay control ice-sheet extent and flow. The changes in bathymetric volume required for shelf-edge glaciation correlate well with the Prydz Channel fan sedimentation history. This suggests a negative feedback between erosion and glaciation, whereby the current graben is overdeepened to such an extent that shelf-edge glaciation is now not possible, even if a Last Glacial Maximum environment recurs. We conclude that the erosional history of the Lambert graben and Prydz Bay in combination with the uplift histories of the surrounding mountains are responsible for the evolution of this section of the East Antarctic Ice Sheet, once the necessary initial climatic conditions for glaciation were achieved at the start of the Oligocene Epoch.</t>
  </si>
  <si>
    <t>Univ Bristol, Sch Geog Sci, Bristol Glaciol Ctr, Bristol BS8 1SS, Avon, England; Univ Wales, Ctr Glaciol, Inst Geog &amp; Earth Sci, Aberystwyth SY23 3DB, Dyfed, Wales; Australian Geol Survey Org, Canberra, ACT 2601, Australia; Stanford Univ, Dept Geol &amp; Environm Sci, Stanford, CA 94305 USA; VNIIOkeangeol, St Petersburg, Russia</t>
  </si>
  <si>
    <t>University of Bristol; Aberystwyth University; Geoscience Australia; Stanford University</t>
  </si>
  <si>
    <t>Univ Bristol, Sch Geog Sci, Bristol Glaciol Ctr, Bristol BS8 1SS, Avon, England.</t>
  </si>
  <si>
    <t>m.j.siegert@bristol.ac.uk</t>
  </si>
  <si>
    <t>Siegert, Martin J/A-3826-2008; Siegert, Martin/M-9939-2019; payne, antony/A-8916-2008</t>
  </si>
  <si>
    <t>Siegert, Martin J/0000-0002-0090-4806; Siegert, Martin/0000-0002-0090-4806; O'Brien, Philip/0000-0003-3446-3292; payne, antony/0000-0001-8825-8425; Leitchenkov, German/0000-0001-6316-8511</t>
  </si>
  <si>
    <t>0091-7613</t>
  </si>
  <si>
    <t>1943-2682</t>
  </si>
  <si>
    <t>10.1130/G20275.1</t>
  </si>
  <si>
    <t>779FG</t>
  </si>
  <si>
    <t>WOS:000189284200006</t>
  </si>
  <si>
    <t>Fogwill, CJ; Bentley, MJ; Sugden, DE; Kerr, AR; Kubik, PW</t>
  </si>
  <si>
    <t>Cosmogenic nuclides 10Be and 26Al imply limited Antarctic Ice Sheet thickening and low erosion in the Shackleton Range for &gt;1 m.y.</t>
  </si>
  <si>
    <t>Shackleton Range; cosmogenic isotopes; geomorphology; ice-sheet change; erosion rates</t>
  </si>
  <si>
    <t>RATES; LAND</t>
  </si>
  <si>
    <t>Concentrations of the cosmogenic nuclides Be-10 and Al-26 on bedrock surfaces in the Shackleton Range, Antarctica, indicate minimum exposure ages between 3.0 +/- 0.3 and 1.16 +/- 0.10 Ma. The isotope data indicate that the maximum long-term erosion rate is 0.10-0.35 m/m.y., and the ratios suggest no prolonged periods of burial by cold-based ice. The findings are important because of the location of the massif close to the junction of the East Antarctic Ice Sheet and the landward extent of the Filchner Ice Shelf. These results point to three conclusions. First, the massif has not been overridden by the East Antarctic Ice Sheet during the late Quaternary. Rather, moraines 200-340 m above outlet glaciers are likely to represent the maximum thickening of the Filchner-Ronne Ice Shelf during the Quaternary. Second, the high radionuclide concentrations on bedrock surfaces, one of which is striated, suggest that some glacial landforms were created in at least Pliocene or more likely Miocene time. Third, the exceptionally low erosion rates imply that the modern cold, and climate has persisted for millions of years. These findings provide evidence of old, stable landscapes over a wider area of Antarctica than the McMurdo Dry Valleys.</t>
  </si>
  <si>
    <t>Univ Durham, Dept Geog, Durham DH1 3LE, England; Univ Edinburgh, Inst Geog, Sch Geosci, Edinburgh EH8 9XP, Midlothian, Scotland; ETH Honggerberg, Paul Scherrer Inst, Inst Particle Phys, CH-8093 Zurich, Switzerland</t>
  </si>
  <si>
    <t>Durham University; University of Edinburgh; Swiss Federal Institutes of Technology Domain; ETH Zurich; Paul Scherrer Institute</t>
  </si>
  <si>
    <t>Univ Durham, Dept Geog, Durham DH1 3LE, England.</t>
  </si>
  <si>
    <t>Bentley, Michael J/F-7386-2011; Fogwill, Chris/AAW-3502-2021; Fogwill, Christopher/HPF-1150-2023</t>
  </si>
  <si>
    <t>Bentley, Michael J/0000-0002-2048-0019; Fogwill, Chris/0000-0002-6471-1106;</t>
  </si>
  <si>
    <t>10.1130/G19795.1</t>
  </si>
  <si>
    <t>WOS:000189284200023</t>
  </si>
  <si>
    <t>Yoon, HI; Yoo, KC; Park, BK; Kim, Y; Khim, BK; Kang, CY</t>
  </si>
  <si>
    <t>The origin of massive diamicton in Marian and Potter coves, King George Island, West Antarctica</t>
  </si>
  <si>
    <t>GEOSCIENCES JOURNAL</t>
  </si>
  <si>
    <t>massive diamicton; King George Island; glacial advance; during warm and humid climate</t>
  </si>
  <si>
    <t>SOUTH SHETLAND ISLANDS; GLACIOMARINE SEDIMENTATION; CONTINENTAL-SHELF; ATLANTIC SECTOR; ROSS-SEA; SEQUENCES; RETREAT; MODELS; BAY</t>
  </si>
  <si>
    <t>Marine sediment cores were obtained from in front of the tidewater glaciers in Marian and Potter coves in the South Shetland Islands in the austral summer of 1998-1999. Sedimentological and geochemical data from these cores document an advance of ice tongue for the deposition of clast-supported, massive diamicton, interpreted as having been produced by ice rafting in front of glacier margin and/or releasing of clasts from basal debris zones in the sub-ice tongue setting. A C-14 chronology for a core indicates that glacial advance took place ca. 1450-1700 yrs B.P., coincident with warm, humid phase in the study area. During this period, the glacier margin was likely to advance and release diamicton clasts, inferred from a reduction in the total organic carbon content, and an increase in sand and clasts within the diamicton facies. The glacial advance probably caused enhanced ice-edge blooms near the core sites, resulting in increased abundance of sea-ice related diatoms i.e., Fragilariopsis curta and Fragilariopsis cylindrus in the diamicton. The warm and humid conditions between 1450-1700 yrs B.P. might allow the intrusion of warm circumpolar deep water within the fjords, bringing about increased abundance of warm water form, i.e., Fraqilariposis kerguelensis. On the other hands, this warming condition probably prohibited the intrusion of Weddell Ice shelf water from the fjord, as evidenced by lack of cold water form, Thalassiosira antarctica, in the diamicton. Clearly, the response of the outlet glacier system along the periphery of the South Shetland Islands Ice Sheet during the late Holocene warm, humid period (1450-1700 yrs B.P.) was expansion. Thus the process of clast-supported massive diamicton formation is likely to be applicable to a number of areas of the modern and Quaternary Antarctic Peninsula.</t>
  </si>
  <si>
    <t>Korea Ocean Res &amp; Dev Inst, Polar Res Inst, Seoul 425600, South Korea; Pusan Natl Univ, Pusan 609735, South Korea; Korea Ocean Res &amp; Dev Inst, Polar Sci Lab, Seoul 425600, South Korea</t>
  </si>
  <si>
    <t>Korea Institute of Ocean Science &amp; Technology (KIOST); Pusan National University; Korea Institute of Ocean Science &amp; Technology (KIOST)</t>
  </si>
  <si>
    <t>Yoon, HI (corresponding author), Korea Ocean Res &amp; Dev Inst, Polar Res Inst, Ansan POB 29, Seoul 425600, South Korea.</t>
  </si>
  <si>
    <t>hiyoon@kordi.re.kr</t>
  </si>
  <si>
    <t>Yoo, Kyu-Cheul/0000-0002-6186-7535</t>
  </si>
  <si>
    <t>HANRIMWON PUBLISHING COMPANY</t>
  </si>
  <si>
    <t>SEOUL</t>
  </si>
  <si>
    <t>206-3 OHJANG-DONG, CHOONG-KU, SEOUL 100-310, SOUTH KOREA</t>
  </si>
  <si>
    <t>1226-4806</t>
  </si>
  <si>
    <t>GEOSCI J</t>
  </si>
  <si>
    <t>Geosci. J.</t>
  </si>
  <si>
    <t>10.1007/BF02910274</t>
  </si>
  <si>
    <t>836XL</t>
  </si>
  <si>
    <t>WOS:000222589400001</t>
  </si>
  <si>
    <t>Esper, O; Versteegh, GJM; Zonneveld, KAF; Willems, H</t>
  </si>
  <si>
    <t>A palynological reconstruction of the Agulhas Retroflection (South Atlantic Ocean) during the Late Quaternary</t>
  </si>
  <si>
    <t>GLOBAL AND PLANETARY CHANGE</t>
  </si>
  <si>
    <t>dinoflagellate cysts; pollen and spores; Agulhas current; Cape Basin; orbital forcing; palaeoceanography</t>
  </si>
  <si>
    <t>WALLED DINOFLAGELLATE CYSTS; LAST GLACIAL MAXIMUM; LONG-TERM VARIATIONS; SURFACE SEDIMENTS; INDIAN-OCEAN; EQUATORIAL ATLANTIC; MEDITERRANEAN SEA; ORGANIC-MATTER; SINGA SECTION; ARABIAN SEA</t>
  </si>
  <si>
    <t>Here, we reconstruct the varying influence of the Agulhas Current (AgC), the South Atlantic Current and the Antarctic Circumpolar Current on the Agulhas Retroflection (AgR) in the eastern South Atlantic Ocean for the last 160,000 years on the basis of the dinoflagellate cysts, pollen and spores present in a sediment core (GeoB 3603-2) from the southeastern Cape Basin offshore South Africa, where the Agulhas Current enters the Atlantic Ocean. Our analyses reveal strong orbital forcing on the heat exchange between the Indian Ocean and the South Atlantic Ocean during the Late Quaternary. Maxima in local productivity appear to be primarily related to a strengthening of the ocean circulation as a result of the high seasonal contrast during precession maxima. During precession minima, seasonal contrast was low and stratified, oligo- to mesotrophic conditions prevailed, notably when these minima coincided with the glacial terminations. The clear presence of periodicities on a sub-Milankovitch scale as well as modulations of the primary frequencies demonstrate that the Agulhas Retroflection furthermore is modulated substantially by complex interactions between the subtropical, 'precession-driven', climate and ocean circulation systems, and the southern, 'obliquity-driven', high latitudes. (C) 2004 Elsevier B.V All rights reserved.</t>
  </si>
  <si>
    <t>Univ Bremen, Fachbereich 5, D-28334 Bremen, Germany; Netherlands Inst Sea Res, NL-1790 AB Den Burg, Netherlands</t>
  </si>
  <si>
    <t>University of Bremen; Utrecht University; Royal Netherlands Institute for Sea Research (NIOZ)</t>
  </si>
  <si>
    <t>Esper, O (corresponding author), Univ Bremen, Fachbereich 5, Postfach 330 440, D-28334 Bremen, Germany.</t>
  </si>
  <si>
    <t>esper@uni-bremen.de</t>
  </si>
  <si>
    <t>Versteegh, Gerard J.M./H-2119-2011</t>
  </si>
  <si>
    <t>Versteegh, Gerard J.M./0000-0002-9320-3776; Esper, Oliver/0000-0002-4342-3471</t>
  </si>
  <si>
    <t>0921-8181</t>
  </si>
  <si>
    <t>GLOBAL PLANET CHANGE</t>
  </si>
  <si>
    <t>Glob. Planet. Change</t>
  </si>
  <si>
    <t>10.1016/j.gloplacha.2003.10.002</t>
  </si>
  <si>
    <t>Geography, Physical; Geosciences, Multidisciplinary</t>
  </si>
  <si>
    <t>Physical Geography; Geology</t>
  </si>
  <si>
    <t>779XH</t>
  </si>
  <si>
    <t>WOS:000189327000003</t>
  </si>
  <si>
    <t>Masson-Delmotte, V; Stenni, B; Jouzel, J</t>
  </si>
  <si>
    <t>Common millennial-scale variability of Antarctic and Southern Ocean temperatures during the past 5000 years reconstructed from the EPICA Dome C ice core</t>
  </si>
  <si>
    <t>HOLOCENE</t>
  </si>
  <si>
    <t>millennial-scale variability; climatic variations; ice core; EPICA; Southern Ocean; Dome C; isotopic modelling; Climatic Optimum; Holocene; Antarctica</t>
  </si>
  <si>
    <t>HOLOCENE CLIMATE VARIABILITY; DEUTERIUM-EXCESS; DELTA-O-18 RECORD; PRECIPITATION; ORIGIN; OSCILLATION; CYCLE; O-18</t>
  </si>
  <si>
    <t>Measurements of the two water stable isotopes (deltaD and delta(18)O) along EPICA (European Project for Ice Coring in Antarctica) Dome C ice core are combined with simple isotopic modelling (distillation models) to construct the variability of both the site temperature (East Antarctica) and the moisture source temperature (nowadays probably the subantarctic Indian Ocean). We discuss the difference between the reconstructed site and source temperature profiles with respect to the initial isotopic data. We show that (i) the early-Holocene optimum appears first in Antarctica and 800 years later in the Southern Ocean, and (ii) during the last 5000 years, the site and source temperatures co-vary at the centennial timescale. An 833-year periodicity is observed only on deuterium and site temperature and therefore probably of local origin.</t>
  </si>
  <si>
    <t>CEA, CNRS, IPSL, Lab Sci Climat &amp; Environm, F-91191 Gif Sur Yvette, France; Univ Trieste, Dept Geol Environm &amp; Marine Sci, Trieste, Italy</t>
  </si>
  <si>
    <t>Universite Paris Saclay; CEA; Centre National de la Recherche Scientifique (CNRS); Universite Paris Cite; University of Trieste</t>
  </si>
  <si>
    <t>CEA, CNRS, IPSL, Lab Sci Climat &amp; Environm, F-91191 Gif Sur Yvette, France.</t>
  </si>
  <si>
    <t>masson@lsce.saclay.cea.fr</t>
  </si>
  <si>
    <t>Masson-Delmotte, Valerie L/G-1995-2011</t>
  </si>
  <si>
    <t>Masson-Delmotte, Valerie L/0000-0001-8296-381X; Stenni, Barbara/0000-0003-4950-3664</t>
  </si>
  <si>
    <t>SAGE PUBLICATIONS LTD</t>
  </si>
  <si>
    <t>LONDON</t>
  </si>
  <si>
    <t>1 OLIVERS YARD, 55 CITY ROAD, LONDON EC1Y 1SP, ENGLAND</t>
  </si>
  <si>
    <t>0959-6836</t>
  </si>
  <si>
    <t>1477-0911</t>
  </si>
  <si>
    <t>Holocene</t>
  </si>
  <si>
    <t>10.1191/0959683604hl697ft</t>
  </si>
  <si>
    <t>819PW</t>
  </si>
  <si>
    <t>WOS:000221328100001</t>
  </si>
  <si>
    <t>Verleyen, E; Hodgson, DA; Sabbe, K; Vanhoutte, K; Vyverman, W</t>
  </si>
  <si>
    <t>Coastal oceanographic conditions in the Prydz Bay region (East Antarctica) during the Holocene recorded in an isolation basin</t>
  </si>
  <si>
    <t>isolation basin; coastal oceanography; Larsemann Hills; palaeolimnology; diatoms; stomatocysts; pigments; ice-sheet retreat; Hypsithermal; relative sea-level change; East Antarctica; Holocene</t>
  </si>
  <si>
    <t>VESTFOLD HILLS; LARSEMANN HILLS; FOSSIL PIGMENTS; DIATOM ASSEMBLAGES; SURFACE SEDIMENTS; SALINE LAKES; FRESH-WATER; RAUER ISLANDS; ROSS SEA; ICE</t>
  </si>
  <si>
    <t>Information on East Antarctic coastal environments during the Holocene is relatively sparse. This is surprising as sedimentary records from the interface between land and sea can provide chronologies of climatic change, isostatic uplift, relative sea level and the colonization of newly formed biomes. Here we examine a sediment core from Pup Lagoon, a coastal lake in the Larsemann Hills, East Antarctica. Sediment stratigraphy, fossil pigments and diatoms were used to infer the sequence of Holocene environmental and climatic change. Results show that between 5800 and 5500 cal. yr BP the marine coast of Prydz Bay was characterized by stratified, open-water conditions during spring and summer and seasonally warm conditions. From 5500 to 2750 cal. yr BP sea-ice duration in Prydz Bay increased with the coast being ice-free for 2-3 months each year, conditions which are similar to the present day. A return to stratified, open-water conditions and a reduction in winter sea-ice extent between 2750 and 2200 cal. yr BP is signalled by enhanced biogenic production and more open-water diatom taxa. This is consistent with evidence for the mid-Holocene Hypsithermal detected in other records in East Antarctica. Isostatic isolation of the Pup Lagoon basin from the sea between 2200 and 2000 cal. yr BP slightly precedes the emergence of lakes with comparable sill heights from the nearby Vestfold Hills. The colonization of Pup Lagoon after its isolation as a freshwater lake was initiated by a siliceous flora dominated by stomatocysts with microbial mat development being prevented by mechanical or physical stress. A brief period of marine incursion following the mid-Holocene Hypsithermal may be related to local events such as iceberg calving or to minor sea-level change. Weighted averaging regression, used to infer salinity in the lacustrine zone, shows that from 1500 cal. yr BP Pup Lagoon is a freshwater lake, where the flora is dominated by stratified cyanobacterial mats, with green algae and diatoms as co-dominants, comparable to modem Pup Lagoon and other lakes in the Larsemann Hills.</t>
  </si>
  <si>
    <t>State Univ Ghent, Lab Protistol &amp; Aquat Ecol, B-9000 Ghent, Belgium; British Antarctic Survey, NERC, Cambridge CB3 OET, England</t>
  </si>
  <si>
    <t>Ghent University; UK Research &amp; Innovation (UKRI); Natural Environment Research Council (NERC); NERC British Antarctic Survey</t>
  </si>
  <si>
    <t>Verleyen, E (corresponding author), State Univ Ghent, Lab Protistol &amp; Aquat Ecol, Krijgslaan 281-S8, B-9000 Ghent, Belgium.</t>
  </si>
  <si>
    <t>elie.verleyen@mg.ac.be</t>
  </si>
  <si>
    <t>Dasseville, Renaat/B-3561-2010</t>
  </si>
  <si>
    <t>NERC [bas010001] Funding Source: UKRI; Natural Environment Research Council [bas010001] Funding Source: researchfish</t>
  </si>
  <si>
    <t>NERC(UK Research &amp; Innovation (UKRI)Natural Environment Research Council (NERC)); Natural Environment Research Council(UK Research &amp; Innovation (UKRI)Natural Environment Research Council (NERC))</t>
  </si>
  <si>
    <t>ARNOLD, HODDER HEADLINE PLC</t>
  </si>
  <si>
    <t>338 EUSTON ROAD, LONDON NW1 3BH, ENGLAND</t>
  </si>
  <si>
    <t>10.1191/0959683604hl702rp</t>
  </si>
  <si>
    <t>WOS:000221328100010</t>
  </si>
  <si>
    <t>Patel, MR; Christou, AA; Cockell, CS; Ringrose, TJ; Zarnecki, JC</t>
  </si>
  <si>
    <t>The UV environment of the Beagle 2 landing site: detailed investigations and detection of atmospheric state</t>
  </si>
  <si>
    <t>ICARUS</t>
  </si>
  <si>
    <t>Mars; Mars, atmosphere; radiative transfer; ultraviolet observations; exobiology</t>
  </si>
  <si>
    <t>THERMAL EMISSION SPECTROMETER; DELTA-EDDINGTON APPROXIMATION; COMPLEX REFRACTIVE-INDEX; BACILLUS-SUBTILIS SPORES; MARTIAN DUST; ICE CLOUDS; ULTRAVIOLET SPECTROSCOPY; WAVELENGTH DEPENDENCE; SOLAR-RADIATION; WATER-VAPOR</t>
  </si>
  <si>
    <t>December 25th 2003 will see the Beagle 2 lander arrive at the surface of Mars in the Isidis region, allowing for the first time in situ measurements of ultraviolet (UV) flux directly from the surface of Mars through the use of a sensor designed as part of a miniaturised environmental package. The expected conditions the sensor will experience are studied here, and the detection signatures for phenomenon such as dust devils. H2O clouds ands near-surface fogs are presented. The beginning and end of mission surface fluxes show little variation, though the period towards mid-nominal mission does experience a maximum in total daily dose levels. Diurnal profiles are calculated highlighting the effects of increased scattering towards shorter wavelengths. A possible dust storm scenario is presented, and the effect upon component UV fluxes is shown to reverse the relative contributions of direct and diffuse components of the total UV flux. The presence of cloud formation above the landing site will be detectable though the observation of elevated diffuse/direct flux ratios. Near-surface morning fogs show a characteristic 'dip' in the morning profile when compared to clear mornings, allowing their detection on cloud-free mornings through post-event analysis of long term data. Predicted Phobos eclipses are investigated at each of the sensor centre wavelengths, and show greatest reduction in relative intensity at short wavelengths. Observations of near-miss eclipse events will also be possible, through monitoring of the diffuse UV flux. Dust devil encounters are shown to create a double minima lightcurve, with the depth of the minima dependent upon the total dust loading of the vortex. The effects of these changing conditions on DNA-weighted irradiances are investigated. Possible dust storms provide the greatest increase in biological protection, whereas expected cloud formations at the Beagle 2 site are found to offer negligible protection. Within just five minutes of landing &gt; 95% of any Bacillus subtilis-like bacteria present on the surface of the craft will have lost viability. (C) 2003 Elsevier Inc. All rights reserved.</t>
  </si>
  <si>
    <t>Open Univ, Planetary &amp; Space Sci Res Inst, Milton Keynes MK7 6AA, Bucks, England; Armagh Observ, Armagh BT61 9DG, North Ireland; British Antarctic Survey, Cambridge CB3 0ET, England</t>
  </si>
  <si>
    <t>Open University - UK; UK Research &amp; Innovation (UKRI); Natural Environment Research Council (NERC); NERC British Antarctic Survey</t>
  </si>
  <si>
    <t>Open Univ, Planetary &amp; Space Sci Res Inst, Walton Hall, Milton Keynes MK7 6AA, Bucks, England.</t>
  </si>
  <si>
    <t>m.r.patel@open.ac.uk</t>
  </si>
  <si>
    <t>ACADEMIC PRESS INC ELSEVIER SCIENCE</t>
  </si>
  <si>
    <t>SAN DIEGO</t>
  </si>
  <si>
    <t>525 B ST, STE 1900, SAN DIEGO, CA 92101-4495 USA</t>
  </si>
  <si>
    <t>0019-1035</t>
  </si>
  <si>
    <t>1090-2643</t>
  </si>
  <si>
    <t>Icarus</t>
  </si>
  <si>
    <t>10.1016/j.icarus.2003.12.002</t>
  </si>
  <si>
    <t>802KC</t>
  </si>
  <si>
    <t>WOS:000220161400009</t>
  </si>
  <si>
    <t>Stokes, SL</t>
  </si>
  <si>
    <t>Leading at the edge: Leadership lessons from me extraordinary saga of Shackleton's Antarctic expedition</t>
  </si>
  <si>
    <t>INFORMATION SYSTEMS MANAGEMENT</t>
  </si>
  <si>
    <t>Book Review</t>
  </si>
  <si>
    <t>stokes@worldnet.att.net</t>
  </si>
  <si>
    <t>AUERBACH PUBLICATIONS</t>
  </si>
  <si>
    <t>BOCA RATON</t>
  </si>
  <si>
    <t>C/O CRC PRESS L L C, 2000 CORPORATE BLVD NW, BOCA RATON, FL 33431 USA</t>
  </si>
  <si>
    <t>1058-0530</t>
  </si>
  <si>
    <t>INFORM SYST MANAGE</t>
  </si>
  <si>
    <t>Inf. Syst. Manage.</t>
  </si>
  <si>
    <t>SPR</t>
  </si>
  <si>
    <t>10.1201/1078/44118.21.2.20040301/80427.13</t>
  </si>
  <si>
    <t>Computer Science, Information Systems</t>
  </si>
  <si>
    <t>Computer Science</t>
  </si>
  <si>
    <t>809OC</t>
  </si>
  <si>
    <t>WOS:000220645000014</t>
  </si>
  <si>
    <t>Kaye, JZ; Márquez, MC; Ventosa, A; Baross, JA</t>
  </si>
  <si>
    <t>Halomonas neptunia sp nov, Halomonas sulfidaeris sp nov., Halomonas axialensis sp nov and Halomonas hydrothermalis sp nov.:: halophilic bacteria isolated from deep-sea hydrothermal-vent environments</t>
  </si>
  <si>
    <t>INTERNATIONAL JOURNAL OF SYSTEMATIC AND EVOLUTIONARY MICROBIOLOGY</t>
  </si>
  <si>
    <t>ANTARCTIC SALINE LAKES; GREAT-SALT LAKE; HALOTOLERANT BACTERIA; GEN-NOV; PHYLOGENETIC DIVERSITY; DEOXYRIBONUCLEIC ACID; FAMILY HALOMONADACEAE; AEROBIC-BACTERIA; MARINE BACTERIA; SODA LAKE</t>
  </si>
  <si>
    <t>To assess the physiological and phylogenetic diversity of culturable halophilic bacteria in deep-sea hydrothermal-vent environments, six isolates obtained from low-temperature hydrothermal fluids, sulfide rock and hydrothermal plumes in North and South Pacific Ocean vent fields located at 1530-2580 m depth were fully characterized. Three strains were isolated on media that contained oligotrophic concentrations of organic carbon (0.002% yeast extract). Sequencing of the 16S rRNA gene indicated that all strains belonged to the genus Halomonas in the gamma-subclass of the Proteobacteria. Consistent with previously described species, the novel strains were slightly to moderately halophilic and grew in media containing up to 22-27% total salts. The isolates grew at temperatures as low as -1 to 2 degreesC and had temperature optima of 30 or 20-35 degreesC. Both the minimum and optimum temperatures for growth were similar to those of Antarctic and sea-ice Halomonas species and lower than typically observed for the genus as a whole. Phenotypic tests revealed that the isolates were physiologically versatile and tended to have more traits in common with each other than with closely related Halomonas species, presumably a reflection of their common deep-sea, hydrothermal-vent habitat of origin. The G+C content of the DNA for all strains was 56.0-57.6 mol%, and DNA-DNA hybridization experiments revealed that four strains (Eplume1(T), Esulfide1(T), Althf1(T) and Slthf2(T)) represented novel species and that two strains (Eplume2 and Slthf1) were related to Halomonas meridiana. The proposed new species names are Halomonas neptunia (type strain Eplume1(T) = ATCC BAA-805(T) = CECT 5815(T) = DSM 15720(T)), Halomonas sulfidaeris (type strain Esulfide1(T) = ATCC BAA-803(T) = CECT 5817(T) = DSM 15722(T)), Halomonas axialensis (type strain Althf1(T) = ATCC BAA-802(T) = CECT 5812(T) = DSM 15723(T)) and Halomonas hydrothermalis (type strain Slthf2(T) = ATCC BAA-800(T) = CECT 5814(T) = DSM 15725(T)).</t>
  </si>
  <si>
    <t>Univ Washington, Sch Oceanog, Seattle, WA 98195 USA; Univ Sevilla, Fac Farm, Dept Microbiol &amp; Parasitol, Seville 41012, Spain</t>
  </si>
  <si>
    <t>University of Washington; University of Washington Seattle; University of Sevilla</t>
  </si>
  <si>
    <t>Kaye, JZ (corresponding author), Univ Washington, Sch Oceanog, Box 357940, Seattle, WA 98195 USA.</t>
  </si>
  <si>
    <t>jzkaye@ocean.washington.edu</t>
  </si>
  <si>
    <t>Márquez, M. Carmen/K-8155-2014; Ventosa, Antonio/K-8239-2017</t>
  </si>
  <si>
    <t>Ventosa, Antonio/0000-0002-7573-0556</t>
  </si>
  <si>
    <t>SOC GENERAL MICROBIOLOGY</t>
  </si>
  <si>
    <t>READING</t>
  </si>
  <si>
    <t>MARLBOROUGH HOUSE, BASINGSTOKE RD, SPENCERS WOODS, READING RG7 1AG, BERKS, ENGLAND</t>
  </si>
  <si>
    <t>1466-5026</t>
  </si>
  <si>
    <t>INT J SYST EVOL MICR</t>
  </si>
  <si>
    <t>Int. J. Syst. Evol. Microbiol.</t>
  </si>
  <si>
    <t>10.1099/ijs.0.02799-0</t>
  </si>
  <si>
    <t>807DA</t>
  </si>
  <si>
    <t>WOS:000220481000030</t>
  </si>
  <si>
    <t>Cockell, CS</t>
  </si>
  <si>
    <t>The Trans-Hellas expedition - An exercise in Martian expedition planning</t>
  </si>
  <si>
    <t>JBIS-JOURNAL OF THE BRITISH INTERPLANETARY SOCIETY</t>
  </si>
  <si>
    <t>Meeting on Martian Expedition Planning</t>
  </si>
  <si>
    <t>FEB 24, 2003</t>
  </si>
  <si>
    <t>BRITISH INTERPLANETARY SOC, LONDON, ENGLAND</t>
  </si>
  <si>
    <t>BRITISH INTERPLANETARY SOC</t>
  </si>
  <si>
    <t>Hellas; expedition; MOLA; impact; sediments</t>
  </si>
  <si>
    <t>LIQUID WATER; MARS; EVOLUTION</t>
  </si>
  <si>
    <t>The Hellas Basis is an impact-formed deep basin in the Southern Hemisphere of Mars. We undertook a planning exercise for a human Trans-Hellas expedition that would traverse the basin from West to East. The authors of this paper divided into three teams. The Science Group was set the task of defining science goals for a Trans-Hellas Crossing. The Logistics Group was set the task of considering what transport and accommodation the team would use during the expedition and the Resources Group was set the task of defining resource use and allocation during the traverse. We present the main conclusions of this short study and show that the Hellas Basin should be considered a high priority science target for future human expeditions. We demonstrate the effectiveness of Martian expedition planning using a small team with diverse expertise.</t>
  </si>
  <si>
    <t>Cockell, CS (corresponding author), British Antarctic Survey, High Cross,Madingley Rd, Cambridge CB3 0ET, England.</t>
  </si>
  <si>
    <t>McKay, Christopher/0000-0002-6243-1362</t>
  </si>
  <si>
    <t>27-29 S LAMBETH RD, LONDON SW8 1SZ, ENGLAND</t>
  </si>
  <si>
    <t>0007-084X</t>
  </si>
  <si>
    <t>JBIS-J BRIT INTERPLA</t>
  </si>
  <si>
    <t>JBIS-J. Br. Interplanet. Soc.</t>
  </si>
  <si>
    <t>Engineering, Aerospace; Astronomy &amp; Astrophysics; Geosciences, Multidisciplinary</t>
  </si>
  <si>
    <t>Engineering; Astronomy &amp; Astrophysics; Geology</t>
  </si>
  <si>
    <t>771KH</t>
  </si>
  <si>
    <t>WOS:000188783800007</t>
  </si>
  <si>
    <t>White, DM; Garland, DS; Beyer, L; Yoshikawa, K</t>
  </si>
  <si>
    <t>Pyrolysis-GC/MS fingerprinting of environmental samples</t>
  </si>
  <si>
    <t>JOURNAL OF ANALYTICAL AND APPLIED PYROLYSIS</t>
  </si>
  <si>
    <t>pyrolysis; environmental; Antarctic; contamination; soil formation</t>
  </si>
  <si>
    <t>CHROMATOGRAPHY MASS-SPECTROMETRY; DISSOLVED ORGANIC-MATTER; HUMIC SUBSTANCES; BIOGENIC INTERFERENCE; GC-MS; SOILS</t>
  </si>
  <si>
    <t>This paper describes four recent applications of analytical pyrolysis in environmental science and engineering. In all applications, samples were analyzed in order to provide information about the origin of organic matter or changes to an organic matrix. In the first application, pyrolysis-gas chromatography/mass spectrometry (GC/MS)and pyrolysis-GC/flame ionization detection (FID) were used to help classify the origin of natural organic matter (NOM) buried in the Antarctic. In the second application, pyrolysis-GCIMS was used to compare the recalcitrance of NOM to biological degradation. In the third application, pyrolysis-GC/FID was used to quantitatively differentiate between lipogenic NOM and petroleum contamination in highly organic soil. In the fourth application, pyrolysis-GC/MS was used to fingerprint organic matter in water samples to help describe the relationship between surface water, groundwater and springs in a complex watershed. In all applications the benefits of analytical pyrolysis are still being discovered. (C) 2003 Elsevier B.V. All rights reserved.</t>
  </si>
  <si>
    <t>Univ Alaska Fairbanks, Inst Geophys, Water &amp; Environm Res Ctr, Fairbanks, AK 99775 USA; Univ Kiel, Inst Polar Ecol, Polar Soil Sci Sect, D-24148 Kiel, Germany</t>
  </si>
  <si>
    <t>University of Alaska System; University of Alaska Fairbanks; University of Kiel</t>
  </si>
  <si>
    <t>Univ Alaska Fairbanks, Inst Geophys, Water &amp; Environm Res Ctr, 525 Duckering Bld, Fairbanks, AK 99775 USA.</t>
  </si>
  <si>
    <t>ffdmw@uaf.edu</t>
  </si>
  <si>
    <t>Yoshikawa, Kenji/0000-0001-5935-2041</t>
  </si>
  <si>
    <t>0165-2370</t>
  </si>
  <si>
    <t>1873-250X</t>
  </si>
  <si>
    <t>J ANAL APPL PYROL</t>
  </si>
  <si>
    <t>J. Anal. Appl. Pyrolysis</t>
  </si>
  <si>
    <t>10.1016/S0165-2370(03)00101-3</t>
  </si>
  <si>
    <t>Chemistry, Analytical; Energy &amp; Fuels; Engineering, Chemical</t>
  </si>
  <si>
    <t>Chemistry; Energy &amp; Fuels; Engineering</t>
  </si>
  <si>
    <t>813BE</t>
  </si>
  <si>
    <t>WOS:000220881800008</t>
  </si>
  <si>
    <t>Green, JA; Butler, PJ; Woakes, AJ; Boyd, IL</t>
  </si>
  <si>
    <t>Energetics of the moult fast in female macaroni penguins Eudyptes chrysolophus</t>
  </si>
  <si>
    <t>JOURNAL OF AVIAN BIOLOGY</t>
  </si>
  <si>
    <t>BODY-MASS LOSS; OXYGEN-CONSUMPTION; SOUTH GEORGIA; HEART-RATE; KING PENGUIN; APTENODYTES-PATAGONICUS; SPHENISCUS-DEMERSUS; ROCKHOPPER PENGUINS; ENERGY; REQUIREMENTS</t>
  </si>
  <si>
    <t>The metabolic rate of moulting macaroni penguins Eudyptes chrysolophus was investigated using three techniques in order to test two hypotheses concerning the energetic cost of the moult fast in penguins. First, that energy expenditure during the moult is greater than that while penguins are onshore during the breeding season. Second, techniques that do not measure energy expenditure throughout the moult fast do not accurately determine the true cost of the moult. Mass loss calculations, measurement of the rate of oxygen consumption and estimation of the rate of oxygen consumption from heart rate in the field were used with captive and free-ranging penguins. Comparison of the results from these techniques suggest that metabolic rate is higher in the field than in a respirometer due to an increase in thermoregulatory costs. Furthermore the average metabolic rate of female penguins during the moult at 5.04 +/- 0.85 W kg(-1) was not significantly different from that of female penguins onshore during the breeding season at 6.27 +/- 0.38 W kg(-1). Metabolic rate in the field changed during the moult fast as feather loss and increased vascularisation of the skin caused increased heat production, illustrating the importance of determining energy expenditure from animals in the field throughout the whole of the moult fast.</t>
  </si>
  <si>
    <t>Univ Birmingham, Sch Biosci, Birmingham B15 2TT, W Midlands, England; British Antarctic Survey, Cambridge CB3 0ET, England</t>
  </si>
  <si>
    <t>University of Birmingham; UK Research &amp; Innovation (UKRI); Natural Environment Research Council (NERC); NERC British Antarctic Survey</t>
  </si>
  <si>
    <t>Green, JA (corresponding author), Univ St Andrews, Sea Mammal Res Unit, Gatty Marine Lab, St Andrews KY16 8LB, Fife, Scotland.</t>
  </si>
  <si>
    <t>j.a.green@bham.ac.uk</t>
  </si>
  <si>
    <t>Green, Jonathan A/B-8799-2011; Woakes, Anthony/JYD-0387-2024</t>
  </si>
  <si>
    <t>Green, Jonathan A/0000-0001-8692-0163;</t>
  </si>
  <si>
    <t>0908-8857</t>
  </si>
  <si>
    <t>1600-048X</t>
  </si>
  <si>
    <t>J AVIAN BIOL</t>
  </si>
  <si>
    <t>J. Avian Biol.</t>
  </si>
  <si>
    <t>10.1111/j.0908-8857.2004.03138.x</t>
  </si>
  <si>
    <t>Ornithology</t>
  </si>
  <si>
    <t>803GW</t>
  </si>
  <si>
    <t>WOS:000220220600009</t>
  </si>
  <si>
    <t>Oke, PR; England, MH</t>
  </si>
  <si>
    <t>Oceanic response to changes in the latitude of the Southern Hemisphere subpolar westerly winds</t>
  </si>
  <si>
    <t>JOURNAL OF CLIMATE</t>
  </si>
  <si>
    <t>ANTARCTIC CIRCUMPOLAR CURRENT; WORLD OCEAN; CLIMATE-CHANGE; TRACER TRANSPORTS; ANNULAR MODES; SEA-ICE; CIRCULATION; WATER; VARIABILITY; INTERMEDIATE</t>
  </si>
  <si>
    <t>The oceanic response to imposed changes in the latitude of the subpolar westerly winds (SWWs) over the Southern Ocean is assessed in a global ocean model. The latitude changes are achieved by applying a zonally uniform zonal wind stress anomaly that is quasi-sinusoidal in latitude, with a positive (negative) band to the south (north) of about 50degreesS. This form of anomaly is chosen because it projects onto the Antarctic Oscillation, also known as the Southern Hemisphere annular mode, that is known to have a long-term trend. The response to both long-term trend and quasi-decadal periodic changes is examined in the latitude of the SWWs. In the long-term trend case, a 5.4degrees poleward shift of the SWWs over a 100-yr simulation is found to cause the poleward heat transport to increase by an average of 25% between 50degreesS and the equator. This change is primarily due to greater northward Ekman transport of cold water and its associated cooling of Subantarctic ModeWater (SAMW) by up to 0.5degreesC in the central-south Pacific. The authors also find that the rate of formation of Antarctic Intermediate Water increases as the SWWs shift poleward, resulting in cooling and freshening at intermediate depths. In the periodic experiment, where the SWWs axis has a range of 5.4degrees latitude, the poleward heat transport, North Atlantic Deep Water outflow and the overturning of Antarctic Bottom Water are all modulated by 20%-30%. Significant cooling is found at intermediate and upper-level water depths in the trend experiment and temperature fluctuations with a range of up to 0.4degreesC in the periodic experiment. These changes are of the same magnitude and form as that recently observed at intermediate depths in the Southern Ocean. The authors conclude that latitudinal shifts of the SWWs may play a significant role in generating observed temperature fluctuations at intermediate water depths.</t>
  </si>
  <si>
    <t>Univ New S Wales, Sch Math, Ctr Environm Modelling &amp; Predict, Sydney, NSW, Australia</t>
  </si>
  <si>
    <t>University of New South Wales Sydney</t>
  </si>
  <si>
    <t>CSIRO Marine Res, GPO Box 1538,Castray Esplanade, Hobart, Tas 7001, Australia.</t>
  </si>
  <si>
    <t>peter.oke@csiro.au</t>
  </si>
  <si>
    <t>England, Matthew/A-7539-2011; Oke, Peter/C-5127-2011</t>
  </si>
  <si>
    <t>England, Matthew/0000-0001-9696-2930; Oke, Peter/0000-0002-3163-5610</t>
  </si>
  <si>
    <t>45 BEACON ST, BOSTON, MA 02108-3693, UNITED STATES</t>
  </si>
  <si>
    <t>0894-8755</t>
  </si>
  <si>
    <t>1520-0442</t>
  </si>
  <si>
    <t>J CLIMATE</t>
  </si>
  <si>
    <t>J. Clim.</t>
  </si>
  <si>
    <t>10.1175/1520-0442(2004)017&lt;1040:ORTCIT&gt;2.0.CO;2</t>
  </si>
  <si>
    <t>801RX</t>
  </si>
  <si>
    <t>WOS:000220114100011</t>
  </si>
  <si>
    <t>Hines, KM; Bromwich, DH; Rasch, PJ; Iacono, MJ</t>
  </si>
  <si>
    <t>Antarctic clouds and radiation within the NCAR climate models</t>
  </si>
  <si>
    <t>SOUTH-POLE; OPTICAL-PROPERTIES; ENERGY BUDGET; CCM3; PARAMETERIZATION; SIMULATION; ATMOSPHERE; SCHEME; LONGWAVE; PLATEAU</t>
  </si>
  <si>
    <t>To evaluate and improve the treatment of clouds and radiation by the climate models of the National Center for Atmospheric Research (NCAR), simulations by the NCAR Community Climate Model version 3 (CCM3), as well as the recently released Community Atmosphere Model version 2 (CAM2), are examined. The Rasch and Kristjansson prognostic cloud condensate scheme, which is now the standard scheme for CAM2, is included in a version of CCM3 and evaluated. Furthermore, the Rapid Radiative Transfer Model (RRTM), which alleviates the deficit in downward clear-sky longwave radiation, is also included in a version of CCM3. The new radiation scheme in CAM2 also alleviates the clear-sky longwave bias, although RRTM is not included. The impact of the changes is especially large over the interior of Antarctica. The changes induced by the introduction of the prognostic cloud scheme are found to have a much larger impact on the CCM3 simulations than do those from the introduction of RRTM. The introduction of the prognostic cloud scheme increases cloud emissivity in the upper troposphere, reduces cloud emissivity in the lower troposphere, and results in a better vertical distribution of cloud radiative properties over interior Antarctica. The climate simulations have a very large cold bias in the stratosphere, especially during summer. There are significant deficiencies in the simulation of Antarctic cloud radiative effects. The optical thickness of Antarctic clouds appears to be excessive. This contributes to a warm bias in surface temperature during winter and a deficit in downward shortwave radiation during summer. Some biases for Antarctica are larger for CCM3 with the prognostic cloud condensate scheme than with the standard diagnostic clouds. When the mixing ratio threshold for autoconversion from suspended ice cloud to falling precipitation is reduced toward a more realistic value, the Antarctic clouds are thinned and some of the biases are reduced. To improve the surface energy balance, not only must the radiative effects of clouds be improved, it is also necessary to improve the representation of sensible heat flux. Insufficient vertical resolution of the frequently very shallow, very stable surface boundary layer apparently contributes to an excessive heat flux from the atmosphere to the surface during winter. The representations of Antarctic clouds and radiation by the new NCAR CAM2 are not clearly improved compared to those of the earlier CCM3. For example, the surface albedo over Antarctica is descreased in CAM2 and Community Climate System Model version 2 (CCSM2) simulations in comparison to CCM3 simulations, contributing to a summer warm bias in tropospheric temperature for the former.</t>
  </si>
  <si>
    <t>Ohio State Univ, Byrd Polar Res Ctr, Polar Meteorol Grp, Columbus, OH 43210 USA; Natl Ctr Atmospher Res, Boulder, CO 80307 USA; Atmospher &amp; Environm Res Inc, Lexington, MA USA</t>
  </si>
  <si>
    <t>University System of Ohio; Ohio State University; National Center Atmospheric Research (NCAR) - USA; Atmospheric &amp; Environmental Research</t>
  </si>
  <si>
    <t>Hines, KM (corresponding author), Ohio State Univ, Byrd Polar Res Ctr, Polar Meteorol Grp, 1090 Carmack Rd, Columbus, OH 43210 USA.</t>
  </si>
  <si>
    <t>hines.91@osu.edu</t>
  </si>
  <si>
    <t>Rasch, Philip J/F-7978-2018; Bromwich, David H/C-9225-2016</t>
  </si>
  <si>
    <t>10.1175/1520-0442(2004)017&lt;1198:ACARWT&gt;2.0.CO;2</t>
  </si>
  <si>
    <t>806RD</t>
  </si>
  <si>
    <t>WOS:000220450100004</t>
  </si>
  <si>
    <t>Walsh, KJE; Betts, H; Church, J; Pittock, AB; McInnes, KL; Jackett, DR; McDougall, TJ</t>
  </si>
  <si>
    <t>Using sea level rise projections for urban planning in Australia</t>
  </si>
  <si>
    <t>JOURNAL OF COASTAL RESEARCH</t>
  </si>
  <si>
    <t>climate change; coastal engineering</t>
  </si>
  <si>
    <t>MASS-BALANCE; CLIMATE-CHANGE; ATMOSPHERIC CO2; ICE-SHEET; THERMAL-EXPANSION; MODEL; OCEAN; GREENLAND; GLACIERS; FREQUENCY</t>
  </si>
  <si>
    <t>This study deals with incorporating predictions of sea level rise into practical municipal planning. Predictions of global mean sea level rise can be made with more confidence than many other aspects of climate change science. The world has warmed in the past century, and as a result global mean sea level has risen and is expected to continue to rise. Even so, there are significant uncertainties regarding predictions of sea level. These arise from two main sources: the future amount of greenhouse gases in the atmosphere, and the ability of models to predict the impact of increasing concentrations of greenhouse gases. Current knowledge regarding the effect of global warming on sea level rise is reviewed. Global mean sea level is expected to rise by 3-30 cm by 2040, and 9-88 cm by 2100. An important remaining uncertainty is the future contribution of surface water storage (for example, lakes and reservoirs) to changes in sea level. In addition, there are also significant local sea level effects that need to he taken account in many regions of the globe, including isostatic and tectonic effects. The thermal expansion component of sea level rise is also likely to vary regionally, due to regional differences in the rate of downward mixing of heat and to changes in ocean currents. The current state of planning for sea level rise in Australia is reviewed. While not all coastal municipalities include sea level rise in their planning schemes, the recent adoption in a number of States of new planning schemes with statutory authority creates a changed planning environment for local government. Coastal urban planning needs to take sea level rise into account because its effects will be apparent during the typical replacement time of urban infrastructure such as buildings (before about 70 years). For local planning, ideally a risk assessment methodology may be employed to estimate the risk caused by sea level rise. In many locations, planning thresholds would also have to be considered in the light of possible changes in storm surge climatology due to changes in storm frequency and intensity, and (in some locations) changes to return periods of riverine flooding. In the medium term (decades), urban beaches will need beach re-nourishment and associated holding structures such as sea walls. Changes in storm and wave climatology are crucial factors for determining future coastal erosion.</t>
  </si>
  <si>
    <t>CSIRO Atmospher Res, Aspendale, Vic, Australia; CSIRO, Marine Res Hobart, Hobart, Tas, Australia; Antarctic CRC &amp; CSIRO Marine Res, Hobart, Tas, Australia</t>
  </si>
  <si>
    <t>Commonwealth Scientific &amp; Industrial Research Organisation (CSIRO); Commonwealth Scientific &amp; Industrial Research Organisation (CSIRO); Commonwealth Scientific &amp; Industrial Research Organisation (CSIRO)</t>
  </si>
  <si>
    <t>CSIRO Atmospher Res, Aspendale, Vic, Australia.</t>
  </si>
  <si>
    <t>Church, John A/A-1541-2012; Whetton, Penny H/A-6885-2012; McDougall, Trevor J/A-6770-2013; McInnes, Kathleen/A-7787-2012</t>
  </si>
  <si>
    <t>Church, John A/0000-0002-7037-8194; McInnes, Kathleen/0000-0002-1810-7215; Walsh, Kevin/0000-0002-1860-510X</t>
  </si>
  <si>
    <t>COASTAL EDUCATION &amp; RESEARCH FOUNDATION</t>
  </si>
  <si>
    <t>COCONUT CREEK</t>
  </si>
  <si>
    <t>5130 NW 54TH STREET, COCONUT CREEK, FL 33073 USA</t>
  </si>
  <si>
    <t>0749-0208</t>
  </si>
  <si>
    <t>1551-5036</t>
  </si>
  <si>
    <t>J COASTAL RES</t>
  </si>
  <si>
    <t>J. Coast. Res.</t>
  </si>
  <si>
    <t>10.2112/1551-5036(2004)020[0586:USLRPF]2.0.CO;2</t>
  </si>
  <si>
    <t>841UI</t>
  </si>
  <si>
    <t>WOS:000222956700017</t>
  </si>
  <si>
    <t>Reid, JE; Kimber, BA; Worby, AP</t>
  </si>
  <si>
    <t>Calibration of a low induction number electromagnetic instrument for sea ice thickness measurements</t>
  </si>
  <si>
    <t>JOURNAL OF ENVIRONMENTAL AND ENGINEERING GEOPHYSICS</t>
  </si>
  <si>
    <t>WINTER; SUMMER</t>
  </si>
  <si>
    <t>Sea ice thickness measurements using low induction number electromagnetic instruments require accurate electromagnetic data. Calibration of EM sea ice thickness data acquired using a shipborne low induction number electromagnetic sensor can be performed by making measurements at a range of heights over level sea ice of known thickness, and by comparing the observed data with the expected layered-earth response. Calibration corrections can be derived using least-squares inversion to minimise the misfit between the observed data and the theoretical response, and can be applied to ship-borne sea ice thickness data during post-processing. This paper presents a case history illustrating identification and correction of calibration errors in low induction number electromagnetic data for shipborne Antarctic sea ice thickness measurements. The method described could also be applied to calibration of low induction number electromagnetic instruments for conventional environmental and engineering geophysical surveys.</t>
  </si>
  <si>
    <t>Univ Tasmania, Sch Earth Sci, Hobart, Tas 7001, Australia; Univ Tasmania, Cooperat Res Ctr Antarct Climate &amp; Ecosyst, Hobart, Tas 7001, Australia; Australian Antarctic Div, Kingston, Tas 7050, Australia</t>
  </si>
  <si>
    <t>University of Tasmania; University of Tasmania; Australian Antarctic Division</t>
  </si>
  <si>
    <t>Reid, JE (corresponding author), Univ Tasmania, Sch Earth Sci, Private Bag 79, Hobart, Tas 7001, Australia.</t>
  </si>
  <si>
    <t>James.Reid@utas.edu.au</t>
  </si>
  <si>
    <t>Worby, Anthony P/A-2373-2012</t>
  </si>
  <si>
    <t>ENVIRONMENTAL ENGINEERING GEOPHYSICAL SOCIETY</t>
  </si>
  <si>
    <t>DENVER</t>
  </si>
  <si>
    <t>1720 SOUTH BELLAIRE, STE 110, DENVER, CO 80222-433 USA</t>
  </si>
  <si>
    <t>1083-1363</t>
  </si>
  <si>
    <t>J ENVIRON ENG GEOPH</t>
  </si>
  <si>
    <t>J. Environ. Eng. Geophys.</t>
  </si>
  <si>
    <t>10.4133/JEEG9.1.43</t>
  </si>
  <si>
    <t>Geochemistry &amp; Geophysics; Engineering, Geological</t>
  </si>
  <si>
    <t>Geochemistry &amp; Geophysics; Engineering</t>
  </si>
  <si>
    <t>856FK</t>
  </si>
  <si>
    <t>WOS:000224030900005</t>
  </si>
  <si>
    <t>Habura, A; Pawlowski, J; Hanes, SD; Bowser, SS</t>
  </si>
  <si>
    <t>Unexpected foraminiferal diversity revealed by small-subunit rDNA analysis of Antarctic sediment</t>
  </si>
  <si>
    <t>JOURNAL OF EUKARYOTIC MICROBIOLOGY</t>
  </si>
  <si>
    <t>Antarctica; biodiversity; environmental DNA; molecular species; morphospecies; ribosomal RNA</t>
  </si>
  <si>
    <t>RNA GENE-SEQUENCES; MCMURDO SOUND; EXPLORERS COVE; RIBOSOMAL-RNA; ALLOGROMIID FORAMINIFERA; MOLECULAR SYSTEMATICS; ECOLOGY; DNA; ORIGIN</t>
  </si>
  <si>
    <t>Studies of benthic Foraminifera typically rely on the morphological identification of dried specimens. This approach can introduce sampling bias against small, delicate, or morphologically ambiguous forms. To overcome this limitation, we extracted total DNA from sediment followed by PCR using group- and species-specific primers. Phylogenetic analyses revealed that approximately ninety percent of the PCR products represented previously undescribed sequence types that group with undersampled members of the allogrormid Foraminifera. We also used a modification of this technique to track individual species in sediment fractions too fine for normal morphological identification, and to confirm species placement of morphologically ambiguous foraminiferans. We were able to identify the DNA of several large foraminiferal species in fine fractions in a seasonally-dependent manner, indicating that in some seasons the majority of the standing stock of these species exists as gametes/juveniles. The approach outlined here represents a powerful strategy for exploring the total diversity of benthic foraminiferal communities.</t>
  </si>
  <si>
    <t>Wadsworth Ctr Labs &amp; Res, Albany, NY 12201 USA; Univ Geneva, Dept Zool &amp; Anim Biol, CH-1211 Geneva 4, Switzerland; SUNY Albany, Sch Publ Hlth, Dept Biomed Sci, Albany, NY 12222 USA</t>
  </si>
  <si>
    <t>Wadsworth Center; University of Geneva; State University of New York (SUNY) System; State University of New York (SUNY) Albany</t>
  </si>
  <si>
    <t>Habura, A (corresponding author), Wadsworth Ctr Labs &amp; Res, BOB 509, Albany, NY 12201 USA.</t>
  </si>
  <si>
    <t>habura@wadsworth.org</t>
  </si>
  <si>
    <t>SOC PROTOZOOLOGISTS</t>
  </si>
  <si>
    <t>LAWRENCE</t>
  </si>
  <si>
    <t>810 E 10TH ST, LAWRENCE, KS 66044 USA</t>
  </si>
  <si>
    <t>1066-5234</t>
  </si>
  <si>
    <t>J EUKARYOT MICROBIOL</t>
  </si>
  <si>
    <t>J. Eukaryot. Microbiol.</t>
  </si>
  <si>
    <t>10.1111/j.1550-7408.2004.tb00542.x</t>
  </si>
  <si>
    <t>813CE</t>
  </si>
  <si>
    <t>WOS:000220884400006</t>
  </si>
  <si>
    <t>Sinclair, BJ; Klok, CJ; Chown, SL</t>
  </si>
  <si>
    <t>Metabolism of the sub-Antarctic caterpillar Pringleophaga marioni during cooling, freezing and thawing</t>
  </si>
  <si>
    <t>JOURNAL OF EXPERIMENTAL BIOLOGY</t>
  </si>
  <si>
    <t>freeze tolerance; critical thermal minimum; chill-coma; metabolic rate; Pringleophaga marioni</t>
  </si>
  <si>
    <t>TEMPERATURE-DEPENDENT BIOGEOGRAPHY; FAT-BODY CELLS; GALL FLY; THERMAL TOLERANCE; TRACHEAL VOLUME; COLD; INSECTS; DIPTERA; LARVAE; DROSOPHILA</t>
  </si>
  <si>
    <t>Although general models of the processes involved in insect survival of freezing exist, there have been few studies directly investigating physiological processes during cooling, freezing and thawing, without which these models remain hypothetical. Here, we use open-flow respirometry to investigate the metabolism of the freeze-tolerant sub-Antarctic caterpillar Pringleophaga marioni Viette (Lepidoptera: Tineidae) during cooling, freezing and thawing and to compare animals exposed to nonlethal (-5.8degreesC and lethal (-6.0degreesC, after which caterpillars are moribund for several days, and -18degreesC, after which caterpillars are completely unresponsive) freezing stress. We found a large decrease in metabolic rate (that is not associated with freezing) at -0.6+/-0.1degreesC and calculated a Q(10) of 2.14x10(3) at this breakpoint. This breakpoint is coincident with the critical thermal minimum (CTmin) and is hypothesised to be a metabolic manifestation of the latter, possibly a failure of the Na+/K+-ATPase pump. This provides a plausible link between processes at the cellular level and observations of the action of the CTmin at tissue and whole-organism levels. Caterpillars froze at -4.6+/-0.1degreesC and had detectable metabolism when frozen. Post-thaw, metabolic rates were lower than pre-freezing measurements. Post-thaw metabolic rates did not differ between temperatures that did and did not kill the caterpillars, which suggests that mortality may be a result of a breakdown in processes at the organismal, rather than cellular, level of organisation.</t>
  </si>
  <si>
    <t>Univ Stellenbosch, Dept Zool, Spatial Physiol &amp; Conservat Ecol Grp, ZA-7602 Matieland, South Africa</t>
  </si>
  <si>
    <t>Stellenbosch University</t>
  </si>
  <si>
    <t>Univ Stellenbosch, Dept Zool, Spatial Physiol &amp; Conservat Ecol Grp, Private Bag 11, ZA-7602 Matieland, South Africa.</t>
  </si>
  <si>
    <t>bjs@sun.ac.za</t>
  </si>
  <si>
    <t>Chown, Steven L/H-3347-2011; Sinclair, Brent J/C-6133-2012; Chown, Steven/ABD-7646-2021</t>
  </si>
  <si>
    <t>Sinclair, Brent/0000-0002-8191-9910</t>
  </si>
  <si>
    <t>COMPANY BIOLOGISTS LTD</t>
  </si>
  <si>
    <t>BIDDER BUILDING, STATION RD, HISTON, CAMBRIDGE CB24 9LF, ENGLAND</t>
  </si>
  <si>
    <t>0022-0949</t>
  </si>
  <si>
    <t>1477-9145</t>
  </si>
  <si>
    <t>J EXP BIOL</t>
  </si>
  <si>
    <t>J. Exp. Biol.</t>
  </si>
  <si>
    <t>10.1242/jeb.00880</t>
  </si>
  <si>
    <t>Biology</t>
  </si>
  <si>
    <t>Life Sciences &amp; Biomedicine - Other Topics</t>
  </si>
  <si>
    <t>815UG</t>
  </si>
  <si>
    <t>WOS:000221066600007</t>
  </si>
  <si>
    <t>Kostianoy, AG; Ginzburg, AI; Frankignoulle, M; Delille, B</t>
  </si>
  <si>
    <t>Fronts in the Southern Indian Ocean as inferred from satellite sea surface temperature data</t>
  </si>
  <si>
    <t>JOURNAL OF MARINE SYSTEMS</t>
  </si>
  <si>
    <t>remote sensing; sea surface temperature; oceanic fronts; polar fronts; Southern Ocean; Indian sector (30-60(circle)S and 20-150(circle)E)</t>
  </si>
  <si>
    <t>ANTARCTIC CIRCUMPOLAR CURRENT; AGULHAS RETURN CURRENT; SEASONAL EVOLUTION; CROZET BASIN; POLAR FRONT; VARIABILITY; CIRCULATION; TRANSPORT; AUSTRALIA; AFRICA</t>
  </si>
  <si>
    <t>Sea surface temperature (SST) derived from the weekly measurements made by the Advanced Very High Resolution Radiometers (AVHRR) of NOAA satellites was used to investigate the structure and space-time variability of large-scale fronts in the Southern Indian Ocean (30-60degreesS and 20-150degreesE) during the period of 1997-1999. Monthly SST gradient maps provided an overall view of five basic fronts: the North and South Subtropical fronts (NSTF and SSTF, respectively), the Agulhas Front (AF), the Subantarctic Front (SAF), and the Polar Front (PF). Mean location of the fronts and associated SST and SST gradients with corresponding standard deviations were calculated at each 10degrees-spaced longitude. A double structure of the NSTF, SAF, and PF was demonstrated as well as the meandering of all fronts with amplitudes of 2-5degrees in latitude and wavelength of several degrees in longitude. Convergence and transient interaction between neighboring fronts appear to occur not only in the Crozet and Kerguelen regions, but in other regions as well. The mean locations and SST range of every front are in good agreement with previous work based on hydrographic surveys [J. Geophys. Res. 101 (1996) 3675], although some details are different (in particular, the larger zonal extent of the NSTF and the wider frontal SST ranges than previously observed). A good correspondence of the measurements made during two hydrographic surveys in the Kerguelen region (22 January-3 February 1999) and in the Tasmania region (3-22 March 1998) with satellite SST and SST gradient maps was found. (C) 2003 Elsevier B.V. All rights reserved.</t>
  </si>
  <si>
    <t>Russian Acad Sci, PP Shirshov Oceanol Inst, Moscow, Russia; Univ Liege, MARE, Unite Oceanog Chim, Liege, Belgium</t>
  </si>
  <si>
    <t>Russian Academy of Sciences; Shirshov Institute of Oceanology; University of Liege</t>
  </si>
  <si>
    <t>Kostianoy, AG (corresponding author), Russian Acad Sci, PP Shirshov Oceanol Inst, Moscow, Russia.</t>
  </si>
  <si>
    <t>kostianoy@online.ru</t>
  </si>
  <si>
    <t>Kostianoy, Andrey/F-9322-2014; Ginzburg, Anna/F-9405-2014; Delille, Bruno/C-3486-2008</t>
  </si>
  <si>
    <t>Delille, Bruno/0000-0003-0502-8101</t>
  </si>
  <si>
    <t>0924-7963</t>
  </si>
  <si>
    <t>J MARINE SYST</t>
  </si>
  <si>
    <t>J. Mar. Syst.</t>
  </si>
  <si>
    <t>10.1016/j.jmarsys.2003.09.004</t>
  </si>
  <si>
    <t>Geosciences, Multidisciplinary; Marine &amp; Freshwater Biology; Oceanography</t>
  </si>
  <si>
    <t>Geology; Marine &amp; Freshwater Biology; Oceanography</t>
  </si>
  <si>
    <t>805AU</t>
  </si>
  <si>
    <t>WOS:000220340000004</t>
  </si>
  <si>
    <t>Cenedese, C; Marshall, J; Whitehead, JA</t>
  </si>
  <si>
    <t>A laboratory model of thermocline depth and exchange fluxes across circumpolar fronts</t>
  </si>
  <si>
    <t>JOURNAL OF PHYSICAL OCEANOGRAPHY</t>
  </si>
  <si>
    <t>DRIVEN OCEAN CIRCULATION; STRATIFIED FLUID; SLICED-CYLINDER; CONVECTION; STABILITY; BOUNDARY; EDDIES; EQUILIBRATION; INSTABILITY; ATMOSPHERES</t>
  </si>
  <si>
    <t>A laboratory experiment has been constructed to investigate the possibility that the equilibrium depth of a circumpolar front is set by a balance between the rate at which potential energy is created by mechanical and buoyancy forcing and the rate at which it is released by eddies. In a rotating cylindrical tank, the combined action of mechanical and buoyancy forcing builds a stratification, creating a large-scale front. At equilibrium, the depth of penetration and strength of the current are then determined by the balance between eddy transport and sources and sinks associated with imposed patterns of Ekman pumping and buoyancy fluxes. It is found that the depth of penetration and transport of the front scale like root[(fw(e))/g']L and w(e)L(2), respectively, where w(e) is the Ekman pumping, g' is the reduced gravity across the front, f is the Coriolis parameter, and L is the width scale of the front. Last, the implications of this study for understanding those processes that set the stratification and transport of the Antarctic Circumpolar Current (ACC) are discussed. If the laboratory results scale up to the ACC, they suggest a maximum thermocline depth of approximately h = 2 km, a zonal current velocity of 4.6 cm s(-1), and a transport T = 150 Sv (1 Sv = 10(6) m(3) s(-1)), not dissimilar to what is observed.</t>
  </si>
  <si>
    <t>Woods Hole Oceanog Inst, Dept Phys Oceanog, Woods Hole, MA 02543 USA; MIT, Dept Earth Atmospher &amp; Planetary Sci, Cambridge, MA USA</t>
  </si>
  <si>
    <t>Woods Hole Oceanographic Institution; Massachusetts Institute of Technology (MIT)</t>
  </si>
  <si>
    <t>Cenedese, C (corresponding author), Woods Hole Oceanog Inst, Dept Phys Oceanog, MS 21, Woods Hole, MA 02543 USA.</t>
  </si>
  <si>
    <t>ccenedese@whoi.edu</t>
  </si>
  <si>
    <t>0022-3670</t>
  </si>
  <si>
    <t>J PHYS OCEANOGR</t>
  </si>
  <si>
    <t>J. Phys. Oceanogr.</t>
  </si>
  <si>
    <t>10.1175/2508.1</t>
  </si>
  <si>
    <t>807CG</t>
  </si>
  <si>
    <t>WOS:000220479000008</t>
  </si>
  <si>
    <t>Vey, S; Dietrich, R; Johnsen, KP; Miao, J; Heygster, G</t>
  </si>
  <si>
    <t>Comparison of tropospheric water vapour over antarctica derived from AMSU-B data, ground-based GPS data and the NCEP/NCAR reanalysis</t>
  </si>
  <si>
    <t>JOURNAL OF THE METEOROLOGICAL SOCIETY OF JAPAN</t>
  </si>
  <si>
    <t>International Workshop on GPS Meteorology</t>
  </si>
  <si>
    <t>JAN 14-17, 2003</t>
  </si>
  <si>
    <t>Tsukuba, JAPAN</t>
  </si>
  <si>
    <t>PRECIPITABLE WATER; TEMPERATURE; METEOROLOGY; RADIOSONDE; DELAY</t>
  </si>
  <si>
    <t>The extreme climate conditions and the sparse number of research stations in Antarctica limit the number of meteorological records over this area. Satellite radiometric measurements and ground-based GPS measurements can therefore improve the amount of available water vapour information. Combining the Zenith Total Delay (ZTD) time series from 6 Antarctic GPS stations and surface meteorological data, we have determined Precipitable Water Vapour (PW) variations with a 2-hour temporal resolution for a period of 5 years. Data from the Advanced Microwave Sounding Unit (AMSU-B) on board the NOAA-15 satellite cover most parts of Antarctica but with observations limited to merely few times a day. GPS and AMSU-B data sets are therefore complementary with respect to time and space. We present a cross validation between PW results from the two independent retrieval algorithms using one year data. Additionally, we compare the observed PW from AMSU-B and GPS with the National Centre for Environmental Prediction (NCEP) reanalysis. All three data sets are highly correlated. The mean differences between the three data sets are station dependent and vary from -1.7 to +1.2 mm. A large part of the bias may result from pressure uncertainties affecting the GPS PW estimates. GPS and AMSU-B as independent data sources are confirmed to be accurate methods for PW estimation for the dry Antarctic atmosphere. PW results from the NCEP analysis corresponds, in general, well to the PW observations at the investigated stations along the Antarctic coast. The results obtained at the station O'Higgins differ from those of the other station. O'Higgins is located at the Antarctic Peninsula and has a more humid environment than the coast of the main Antarctic continent, which may explain the peculiar behaviour of this station.</t>
  </si>
  <si>
    <t>Tech Univ Dresden, Inst Planetare Geodasie, D-01062 Dresden, Germany; GKSS Res Ctr Geesthacht GmbH, Geesthacht, Germany; Univ Bremen, Inst Environm Phys, Bremen, Germany</t>
  </si>
  <si>
    <t>Technische Universitat Dresden; Helmholtz Association; Helmholtz-Zentrum Hereon; University of Bremen</t>
  </si>
  <si>
    <t>Tech Univ Dresden, Inst Planetare Geodasie, D-01062 Dresden, Germany.</t>
  </si>
  <si>
    <t>vey@IPG.geo.tu-dresden.de</t>
  </si>
  <si>
    <t>Heygster, Georg C./B-4928-2014</t>
  </si>
  <si>
    <t>Heygster, Georg/0000-0003-2232-7429</t>
  </si>
  <si>
    <t>METEOROLOGICAL SOC JAPAN</t>
  </si>
  <si>
    <t>TOKYO</t>
  </si>
  <si>
    <t>C/O JAPAN METEOROLOGICAL AGENCY 1-3-4 OTE-MACHI, CHIYODA-KU, TOKYO, 100-0004, JAPAN</t>
  </si>
  <si>
    <t>0026-1165</t>
  </si>
  <si>
    <t>2186-9057</t>
  </si>
  <si>
    <t>J METEOROL SOC JPN</t>
  </si>
  <si>
    <t>J. Meteorol. Soc. Jpn.</t>
  </si>
  <si>
    <t>1B</t>
  </si>
  <si>
    <t>10.2151/jmsj.2004.259</t>
  </si>
  <si>
    <t>820UE</t>
  </si>
  <si>
    <t>WOS:000221414100002</t>
  </si>
  <si>
    <t>Arratia, G; Scasso, RA; Kiessling, W</t>
  </si>
  <si>
    <t>Late Jurassic fishes from Longing Gap, Antarctic Peninsula</t>
  </si>
  <si>
    <t>JOURNAL OF VERTEBRATE PALEONTOLOGY</t>
  </si>
  <si>
    <t>SEYMOUR-ISLAND; TELEOSTEI; PALEOBIOGEOGRAPHY</t>
  </si>
  <si>
    <t>Few records of Late Jurassic fishes have been reported previously from Antarctica. They include an indeterminate teleost front the Ameghino (Nordenskjold) Formation at Longing Gap and two incomplete aspidorhyn-chiforms from James Ross Island, all of presumed Late Jurassic age. New fish material recently recovered in the Upper Jurassic of Longing Gap is described. The new material consists of one piece of body squamation, which, based on the structure of the scales, corresponds to a new genus and species (Ameghinichthys antarcticus gen. et sp. nov.) of an indeterminate actinopterygian family; one aspidorhynchiform identified as Vinctifer sp. due to the structure and distribution of the scales; and numerous specimens of a new ichthyodectiform, Antarctithrissops seymouri gen. et sp. nov. This new genus differs from European ichthyodectiforms in the shape of the preopercle, the presence of long sensory preopercular branches almost reaching the posterior margin of the bone, and the uncommon structure of the scales, with a fine layer of bone obscuring the circuli. The presence of Vinctifer in the Antarctic is consistent with its other Gondwanan records. The Ichthyodectiformes, previously known from four European genera, extends the distribution of the group to the southernmost part of the Southern Hemisphere during the Late Jurassic. In contrast to most non-teleostean fishes, the known Late Jurassic teleosts apparently are species endemic to restricted areas in the Southern Hemisphere.</t>
  </si>
  <si>
    <t>Museum Naturkunde, Inst Palaontol, D-10115 Berlin, Germany; Univ Buenos Aires, Dpto Cs Geol, RA-1428 Buenos Aires, DF, Argentina</t>
  </si>
  <si>
    <t>Leibniz Institut fur Evolutions und Biodiversitatsforschung; University of Buenos Aires</t>
  </si>
  <si>
    <t>Museum Naturkunde, Inst Palaontol, Invalidenstr 43, D-10115 Berlin, Germany.</t>
  </si>
  <si>
    <t>gloria.arratia@rz.hu-berlin.de</t>
  </si>
  <si>
    <t>Kiessling, Wolfgang/E-2259-2015</t>
  </si>
  <si>
    <t>Kiessling, Wolfgang/0000-0002-1088-2014</t>
  </si>
  <si>
    <t>TAYLOR &amp; FRANCIS INC</t>
  </si>
  <si>
    <t>PHILADELPHIA</t>
  </si>
  <si>
    <t>530 WALNUT STREET, STE 850, PHILADELPHIA, PA 19106 USA</t>
  </si>
  <si>
    <t>0272-4634</t>
  </si>
  <si>
    <t>1937-2809</t>
  </si>
  <si>
    <t>J VERTEBR PALEONTOL</t>
  </si>
  <si>
    <t>J. Vertebr. Paleontol.</t>
  </si>
  <si>
    <t>10.1671/1952-4</t>
  </si>
  <si>
    <t>Paleontology</t>
  </si>
  <si>
    <t>809MB</t>
  </si>
  <si>
    <t>Green Published, Green Submitted</t>
  </si>
  <si>
    <t>WOS:000220639700004</t>
  </si>
  <si>
    <t>Hume, F; Hindell, MA; Pemberton, D; Gales, R</t>
  </si>
  <si>
    <t>Spatial and temporal variation in the diet of a high trophic level predator, the Australian fur seal (Arctocephalus pusillus doriferus)</t>
  </si>
  <si>
    <t>MARINE BIOLOGY</t>
  </si>
  <si>
    <t>VICTORIA; TASMANIA; ISLAND</t>
  </si>
  <si>
    <t>This study quantifies the manner in which Australian fur seals, Arctocephalus pusillus doriferus, use their prey in a spatial and temporal context. We analysed 977 seat and 66 regurgitate samples collected from Tasmanian breeding colonies and haul-outs between 1994 and 2000. Diagnostic prey remains identified in the seats represented 35 fish taxa and 8 cephalopod taxa. The main taxa identified in seats, where frequency of occurrence was greater than or equal to10%, were leatherjacket species (family Monocanthidae), redbait (Emmelichthys nitidus), barracouta (Thyrsites atun), jack mackerel (Trachurus declivis) and red cod (Pseudophysis bachus). Regurgitates were dominated by cephalopods, primarily Gould's squid (Nototodarus gouldi), Octopus maorum, O. berrima/pallidus and Sepia apama. Discriminant function analyses indicated that there were generally no significant differences in the composition of the diet between colonies within a year, suggesting that prey distribution is fairly uniform throughout Bass Strait at those time scales. The diet at breeding colonies, however, exhibited significant inter- and intra-annual variation, determined by the presence of several key taxa, such as barracouta and a species of scorpionfish (family Scorpaenidae). The diet composition also varied regionally, between Bass Strait and southern Tasmania in spring 1999 and autumn 2000, with redbait, barracouta and a species of scorpionfish identified as the main taxa contributing to this difference. Redbait occurred in the diet only in southern Tasmania, whereas barracouta and scorpionfish occurred only in Bass Strait.</t>
  </si>
  <si>
    <t>Univ Tasmania, Sch Zool, Antarctic Wildlife Res Unit, Hobart, Tas 7001, Australia; Dept Primary Ind Water &amp; Environm, Nat Conservat Branch, Marine Conservat Unit, Hobart, Tas 7001, Australia; Tasmanian Museum &amp; Art Gallery, Hobart, Tas 7001, Australia</t>
  </si>
  <si>
    <t>University of Tasmania</t>
  </si>
  <si>
    <t>Univ Tasmania, Sch Zool, Antarctic Wildlife Res Unit, POB 252-05, Hobart, Tas 7001, Australia.</t>
  </si>
  <si>
    <t>mark.hindell@utas.edu.au</t>
  </si>
  <si>
    <t>Hindell, Mark A/K-1131-2013; Hindell, Mark A/C-8368-2013</t>
  </si>
  <si>
    <t>Hindell, Mark/0000-0002-7823-7185</t>
  </si>
  <si>
    <t>0025-3162</t>
  </si>
  <si>
    <t>1432-1793</t>
  </si>
  <si>
    <t>MAR BIOL</t>
  </si>
  <si>
    <t>Mar. Biol.</t>
  </si>
  <si>
    <t>10.1007/s00227-003-1219-0</t>
  </si>
  <si>
    <t>Marine &amp; Freshwater Biology</t>
  </si>
  <si>
    <t>780GP</t>
  </si>
  <si>
    <t>WOS:000189364200001</t>
  </si>
  <si>
    <t>Wiebe, PH; Ashjian, CJ; Gallager, SM; Davis, CS; Lawson, GL; Copley, NJ</t>
  </si>
  <si>
    <t>Using a high-powered strobe light to increase the catch of Antarctic krill</t>
  </si>
  <si>
    <t>ELECTRIC LIGHT; EUPHAUSIA-SUPERBA; ZOOPLANKTON; CAPTURE; NET; BIOLUMINESCENCE</t>
  </si>
  <si>
    <t>Adult euphausiids are difficult to capture with the nets typically used by oceanographers due in part to avoidance of the net. A cruise of the Southern Ocean GLOBEC program (NBP0103) in April/May 2001 permitted an evaluation of the efficacy of a high-powered strobe light (150 W) mounted on a 1-m(2) multiple opening/closing net and environmental sampling system (MOCNESS) in reducing net avoidance. Three horizontal tows were made in Laubeuf Fjord, Marguerite Bay (western Antarctic Peninsula, 67.89degreesS; 68.30 W) on 28-29 May in an area that had a high abundance of adult krill (mostly Euphausia superba, Dana and a few E. crystallorophias, Holt and Tattersall). Each tow consisted of a series of paired down and up casts through a set depth interval (e.g. 50-90 m), with each successive net (335 mum mesh) sampling both a down and up cast. The strobe light was either on or off while each net was open, and when on, the light flashed at 4-s intervals. During a tow, four of the eight nets sampled with the strobe flashing and four sampled with the strobe off, in a random sequence. Total zooplankton displacement volume was significantly higher (P&lt;0.0 5), on average by a factor of similar to 1.5, when the strobe light was on. The increased biovolume was due to the enhanced catch (factor of similar to 2) of adult krill (15-60 mm length). There was no enhanced catch of smaller krill (5-15 mm length: a mixture of E. superba, E. crystallorophias, and Thysanoessa macrura, GO Sars). In addition, the average length of the large krill fraction was not changed substantially with the strobe light on. These results suggest that krill avoidance of nets can be overcome by intense strobe lighting.</t>
  </si>
  <si>
    <t>Woods Hole Oceanog Inst, Woods Hole, MA 02543 USA</t>
  </si>
  <si>
    <t>Woods Hole Oceanographic Institution</t>
  </si>
  <si>
    <t>Woods Hole Oceanog Inst, Woods Hole, MA 02543 USA.</t>
  </si>
  <si>
    <t>pwiebe@whoi.edu</t>
  </si>
  <si>
    <t>Wiebe, Peter/0000-0002-6059-4651</t>
  </si>
  <si>
    <t>10.1007/s00227-003-1228-z</t>
  </si>
  <si>
    <t>WOS:000189364200009</t>
  </si>
  <si>
    <t>Evans, K; Hindell, M; Hince, G</t>
  </si>
  <si>
    <t>Concentrations of organochlorines in sperm whales (Physeter macrocephalus) from Southern Australian waters</t>
  </si>
  <si>
    <t>MARINE POLLUTION BULLETIN</t>
  </si>
  <si>
    <t>sperm whale; Physeter macrocephalus; organochlorine compounds; Southern Australia</t>
  </si>
  <si>
    <t>DOLPHINS STENELLA-COERULEOALBA; PORPOISE PHOCOENA-PHOCOENA; MARINE MAMMALS; PERSISTENT ORGANOCHLORINES; POLYCHLORINATED-BIPHENYLS; CHLORINATED HYDROCARBONS; BALAENOPTERA-PHYSALUS; SAMPLING PROCEDURES; GLOBAL DISTRIBUTION; 1994/1995 WINTER</t>
  </si>
  <si>
    <t>Concentrations of DDTs, PCBs and HCHs were measured in sperm whales involved in two mass stranding events on the west coast of Tasmania, Australia in February 1998. DDTs and PCBs were present in all samples analysed, while only three contained HCHs. The relationships between organochlorines, sex, age and reproductive groups were marked by high variability. Differences in organochlorine concentrations were observed between animals from the two stranding sites and discussed in light of the ecology of this species. Concentrations of all pollutants were stratified throughout the vertical aspect of the blubber and possible reasons for and the implications of this are discussed. Concentrations of compounds were higher than those documented in this species in the Southern Hemisphere previously, although were relatively lower than those documented in the Northern Hemisphere. However, comparisons were confounded by spatial and temporal differences. Continued monitoring of marine mammals throughout this region in a co-coordinated, standardized manner is essential for establishing definite temporal and spatial variations in pollutant concentrations. (C) 2003 Elsevier Ltd. All rights reserved.</t>
  </si>
  <si>
    <t>Univ Tasmania, Sch Zool, Antarctic Wildlife Res Unit, Hobart, Tas 7001, Australia; Univ Tasmania, Dept Chem Cl, Analyt Serv Tasmania, Hobart, Tas 7001, Australia</t>
  </si>
  <si>
    <t>University of Tasmania; University of Tasmania</t>
  </si>
  <si>
    <t>CSIRO Marine Res, GPO Box 1358, Hobart, Tas 7001, Australia.</t>
  </si>
  <si>
    <t>karen.evans@csiro.au</t>
  </si>
  <si>
    <t>evans, karen/D-7110-2012; Hindell, Mark A/K-1131-2013</t>
  </si>
  <si>
    <t>Evans, Karen/0000-0003-2205-4264; Hindell, Mark/0000-0002-7823-7185</t>
  </si>
  <si>
    <t>0025-326X</t>
  </si>
  <si>
    <t>1879-3363</t>
  </si>
  <si>
    <t>MAR POLLUT BULL</t>
  </si>
  <si>
    <t>Mar. Pollut. Bull.</t>
  </si>
  <si>
    <t>5-6</t>
  </si>
  <si>
    <t>10.1016/j.marpolbul.2003.08.026</t>
  </si>
  <si>
    <t>Environmental Sciences; Marine &amp; Freshwater Biology</t>
  </si>
  <si>
    <t>801YP</t>
  </si>
  <si>
    <t>WOS:000220131500023</t>
  </si>
  <si>
    <t>Chapman, PM; Riddle, MJ</t>
  </si>
  <si>
    <t>Reply to wells: there really is a paucity of polar marine ecotoxicity data!</t>
  </si>
  <si>
    <t>EVS Environm Consultants, N Vancouver, BC V7P 2R4, Canada; Australian Antarctic Div, Kingston, Tas, Australia</t>
  </si>
  <si>
    <t>Australian Antarctic Division</t>
  </si>
  <si>
    <t>Chapman, PM (corresponding author), EVS Environm Consultants, 195 Pemberton Ave, N Vancouver, BC V7P 2R4, Canada.</t>
  </si>
  <si>
    <t>pchapman@attaglobal.net</t>
  </si>
  <si>
    <t>10.1016/j.marpolbul.2003.12.009</t>
  </si>
  <si>
    <t>WOS:000220131500036</t>
  </si>
  <si>
    <t>Naraoka, H; Mita, H; Komiya, M; Yoneda, S; Kojima, H; Shimoyama, A</t>
  </si>
  <si>
    <t>A chemical sequence of macromolecular organic matter in the CM chondrites</t>
  </si>
  <si>
    <t>METEORITICS &amp; PLANETARY SCIENCE</t>
  </si>
  <si>
    <t>ANTARCTIC CARBONACEOUS CHONDRITES; ISOTOPIC COMPOSITIONS; THERMAL METAMORPHISM; CARBOXYLIC-ACIDS; AMINO-ACIDS; C-13 NMR; METEORITES; PHYLLOSILICATES; HYDROCARBONS; NITROGEN</t>
  </si>
  <si>
    <t>A new organic parameter is proposed to show a chemical sequence of organic matter in carbonaccous chondrites, using carbon, hydrogen, and nitrogen concentrations of solvent-insoluble and high-molecular weight organic matter (macromolecules) and the molecular abundance of solvent-extractable organic compounds. The H/C atomic ratio of the macromolecule purified from nine CM chondrites including the Murchison, Sayama, and seven Antarctic meteorites varies widely from 0.11 to 0.72. During the H/C change of similar to0.7 to similar to0.3, the N/C atomic ratio remains at similar to0.04, followed by a sharp decline from similar to0.040 to similar to0.017 between H/C ratios from similar to0.3 to similar to0.1. The H/C-N/C sequence shows different degrees of organic matter thermal alteration among these chondrites in which the smaller H/C-N/C value implies higher alteration levels on the meteorite parent body. In addition, solvent-extractable organic compounds such as amino acids, carboxylic acids, and polycyclic aromatic hydrocarbons are abundant only in chondrites with macromolecular H/C values &gt;similar to0.5. These organic compounds were extremely depleted in the chondrites with a macromolecular H/C value of</t>
  </si>
  <si>
    <t>Tokyo Metropolitan Univ, Dept Chem, Tokyo 1920397, Japan; Japan Aerosp Explorat Agcy, Inst Space &amp; Astronaut Sci, Kanagawa 2298510, Japan; Univ Tsukuba, Dept Chem, Tsukuba, Ibaraki 3058571, Japan; Natl Inst Adv Ind Sci &amp; Technol, AIST, Tsukuba, Ibaraki 3058567, Japan; Museum Nat Sci, Shinjuku Ku, Tokyo 1690073, Japan; Natl Inst Polar Res, Antarctic Meteorite Ctr, Tokyo 1738515, Japan</t>
  </si>
  <si>
    <t>Tokyo Metropolitan University; Japan Aerospace Exploration Agency (JAXA); Institute of Space &amp; Astronautical Science (ISAS); University of Tsukuba; National Institute of Advanced Industrial Science &amp; Technology (AIST); Research Organization of Information &amp; Systems (ROIS); National Institute of Polar Research (NIPR) - Japan</t>
  </si>
  <si>
    <t>Naraoka, H (corresponding author), Tokyo Metropolitan Univ, Dept Chem, 1-1 Minami Ohsawa, Tokyo 1920397, Japan.</t>
  </si>
  <si>
    <t>naraoka-hiroshi@c.metro-u.ac.jp</t>
  </si>
  <si>
    <t>Naraoka, Hiroshi/0000-0002-2373-8759</t>
  </si>
  <si>
    <t>MALDEN</t>
  </si>
  <si>
    <t>COMMERCE PLACE, 350 MAIN ST, MALDEN 02148, MA USA</t>
  </si>
  <si>
    <t>1086-9379</t>
  </si>
  <si>
    <t>METEORIT PLANET SCI</t>
  </si>
  <si>
    <t>Meteorit. Planet. Sci.</t>
  </si>
  <si>
    <t>10.1111/j.1945-5100.2004.tb00101.x</t>
  </si>
  <si>
    <t>812HM</t>
  </si>
  <si>
    <t>WOS:000220830600004</t>
  </si>
  <si>
    <t>Welten, KC; Nishiszumi, K; Finkel, RC; Hillegonds, DJ; Jull, AJT; Franke, L; Schultz, L</t>
  </si>
  <si>
    <t>Exposure history and terrestrial ages of ordinary chondrites from the Dar al Gani region, Libya</t>
  </si>
  <si>
    <t>NON-ANTARCTIC METEORITES; LIGHT NOBLE-GASES; PRODUCTION-RATES; COSMOGENIC NUCLIDES; PARENT BODIES; H-CHONDRITES; IRRADIATION; DESERT; STONY; CL-36</t>
  </si>
  <si>
    <t>We measured the concentrations of noble gases in 32 ordinary chondrites from the Dar al Gani (DaG) region, Libya, as well as concentrations of the cosmogenic radionuclides C-14, Be-10, Al-26, Cl-36, and Ca-41 in 18 of these samples. Although the trapped noble gases in five DaG samples show ratios typical of solar or planetary gases, in all other DaG samples, they are dominated by atmospheric contamination, which increases with the degree of weathering. Cosmic ray exposure (CRE) ages of DaG chondrites range from similar to1 Myr to 53 Myr. The CRE age distribution of 10 DaG L chondrites shows a cluster around 40 Myr due to four members of a large L6 chondrite shower. The CRE age distribution of 19 DaG H chondrites shows only three ages coinciding with the main H chondrite peak at similar to7 Myr, while seven ages are &lt;5 Myr. Two of these H chondrites with short CRE ages (DaG 904 and 908) show evidence of a complex exposure history. Five of the H chondrites show evidence of high shielding conditions, including low Ne-22/Ne-21 ratios and large contributions of neutron-capture Cl-36 and Ca-41. These samples represent fragments of two or more large pre-atmospheric objects, which supports the hypothesis that the high H/L chondrite ratio at DaG is due to one or more large unrecognized showers. The C-14 concentrations correspond to terrestrial ages &lt;35 kyr, similar to terrestrial ages of chondrites from other regions in the Sahara but younger than two DaG achondrites. Despite the loss of cosmogenic Cl-36 and Ca-41 during oxidation of metal and troilite, concentrations of Cl-36 and Ca-41 in the silicates are also consistent with C-14 ages &lt;35 kyr. The only exception is DaG 343 (H4), which has a Ca-41 terrestrial age of 150 +/- 40 kyr. This old age shows that not only iron meteorites and achondrites but also chondrites can survive the hot desert environment for more than 50 kyr. A possible explanation is that older meteorites were covered by soils during wetter periods and were recently exhumed by removal of these soils due to deflation during more and periods, such as the current one, which started similar to 3000 years ago. Finally, based on the Al-26/Ne-21 and Be-10/Ne-21 systematics in 16 DaG meteorites, we derived more reliable estimates of the Be-10/Ne-21 production rate ratio, which seems more sensitive to shielding than was predicted by the semi-empirical model of Graf et al. (1990) but less sensitive than was predicted by the purely physical model of Leya et al. (2000).</t>
  </si>
  <si>
    <t>Univ Calif Berkeley, Space Sci Lab, Berkeley, CA 94720 USA; Lawrence Livermore Natl Lab, Ctr Accelerator Mass Spectrometry, Livermore, CA 94550 USA; Univ Arizona, NSF, Arizona AMS Facil, Tucson, AZ 85721 USA; Max Planck Inst Chem, D-55020 Mainz, Germany</t>
  </si>
  <si>
    <t>University of California System; University of California Berkeley; United States Department of Energy (DOE); Lawrence Livermore National Laboratory; University of Arizona; National Science Foundation (NSF); Max Planck Society</t>
  </si>
  <si>
    <t>Welten, KC (corresponding author), Univ Calif Berkeley, Space Sci Lab, Berkeley, CA 94720 USA.</t>
  </si>
  <si>
    <t>kcwelten@uclink4.berkeley.edu</t>
  </si>
  <si>
    <t>Welten, Kees/0000-0001-8577-6753</t>
  </si>
  <si>
    <t>1945-5100</t>
  </si>
  <si>
    <t>10.1111/j.1945-5100.2004.tb00106.x</t>
  </si>
  <si>
    <t>WOS:000220830600009</t>
  </si>
  <si>
    <t>Paluh, JL; Killilea, AN; Detrich, HW; Downing, KH</t>
  </si>
  <si>
    <t>Meiosis-specific failure of cell cycle progression in fission yeast by mutation of a conserved β-tubulin residue</t>
  </si>
  <si>
    <t>MOLECULAR BIOLOGY OF THE CELL</t>
  </si>
  <si>
    <t>OSCILLATORY NUCLEAR-MOVEMENT; PRIMARY SEQUENCE CHANGES; MICROTUBULE DYNAMICS; MEIOTIC PROPHASE; ALPHA-TUBULIN; STRUCTURAL INTERPRETATION; SACCHAROMYCES-CEREVISIAE; GENETICALLY INTERACTS; ASPERGILLUS-NIDULANS; MITOTIC SPINDLE</t>
  </si>
  <si>
    <t>The microtubule cytoskeleton is involved in regulation of cell morphology, differentiation, and cell cycle progression. Precisely controlled dynamic properties are required for these microtubule functions. To better understand how tubulin's dynamics are embedded in its primary sequence, we investigated in vivo the consequences of altering a single, highly conserved residue in beta-tubulin that lies at the interface between two structural domains. The residue differs between the cold-adapted Antarctic fish and temperate animals in a manner that suggests a role in microtubule stability. Fungi, like the Antarctic fish, have a phenylalanine in this position, whereas essentially all other animals have tyrosine. We mutated the corresponding residue in fission yeast to tyrosine. Temperature effects were subtle, but time-lapse microscopy of microtubule dynamics revealed reduced depolymerization rates and increased stability. Mitotic exit signaled by breakdown of the mitotic spindle was delayed. In meiosis, microtubules displayed prolonged contact to the cell cortex during horsetail movement, followed by completion of meiosis I but frequent asymmetric failure of meiosis II spindle formation. Our results indicate that depolymerization dynamics modulated through interdomain motion may be important for regulating a subset of plus-end microtubule complexes in Schizosaccharomyces pombe.</t>
  </si>
  <si>
    <t>Univ Calif Berkeley, Lawrence Berkeley Lab, Div Life Sci, Berkeley, CA 94720 USA; Boston Coll, Dept Biol, Chestnut Hill, MA 02467 USA; Northeastern Univ, Dept Biol, Boston, MA 02115 USA</t>
  </si>
  <si>
    <t>United States Department of Energy (DOE); Lawrence Berkeley National Laboratory; University of California System; University of California Berkeley; Boston College; Northeastern University</t>
  </si>
  <si>
    <t>Univ Calif Berkeley, Lawrence Berkeley Lab, Div Life Sci, Berkeley, CA 94720 USA.</t>
  </si>
  <si>
    <t>khdowning@lbl.gov</t>
  </si>
  <si>
    <t>Paluh, Janet/0000-0002-5988-6075</t>
  </si>
  <si>
    <t>NIGMS NIH HHS [R01 GM046033, GM-46033] Funding Source: Medline</t>
  </si>
  <si>
    <t>NIGMS NIH HHS(United States Department of Health &amp; Human ServicesNational Institutes of Health (NIH) - USANIH National Institute of General Medical Sciences (NIGMS))</t>
  </si>
  <si>
    <t>AMER SOC CELL BIOLOGY</t>
  </si>
  <si>
    <t>8120 WOODMONT AVE, STE 750, BETHESDA, MD 20814-2755 USA</t>
  </si>
  <si>
    <t>1059-1524</t>
  </si>
  <si>
    <t>1939-4586</t>
  </si>
  <si>
    <t>MOL BIOL CELL</t>
  </si>
  <si>
    <t>Mol. Biol. Cell</t>
  </si>
  <si>
    <t>10.1091/mbc.E03-06-0389</t>
  </si>
  <si>
    <t>Cell Biology</t>
  </si>
  <si>
    <t>800TZ</t>
  </si>
  <si>
    <t>WOS:000220051900021</t>
  </si>
  <si>
    <t>Le Goff-Vitry, MC; Pybus, OG; Rogers, AD</t>
  </si>
  <si>
    <t>Genetic structure of the deep-sea coral Lophelia pertusa in the northeast Atlantic revealed by microsatellites and internal transcribed spacer sequences</t>
  </si>
  <si>
    <t>MOLECULAR ECOLOGY</t>
  </si>
  <si>
    <t>cold-water coral; ITS sequencing; Lophelia; microsatellite; northeast Atlantic; population structure</t>
  </si>
  <si>
    <t>PARTHENOGENETIC SITOBION APHIDS; POPULATION-STRUCTURE; CLONAL DIVERSITY; WATER; FLOW; SCLERACTINIA; CNIDARIA; MOUNDS; REEF; DIFFERENTIATION</t>
  </si>
  <si>
    <t>The azooxanthellate scleractinian coral Lophelia pertusa has a near-cosmopolitan distribution, with a main depth distribution between 200 and 1000 m. In the northeast Atlantic it is the main framework-building species, forming deep-sea reefs in the bathyal zone on the continental margin, offshore banks and in Scandinavian fjords. Recent studies have shown that deep-sea reefs are associated with a highly diverse fauna. Such deep-sea communities are subject to increasing impact from deep-water fisheries, against a background of poor knowledge concerning these ecosystems, including the biology and population structure of L. pertusa. To resolve the population structure and to assess the dispersal potential of this deep-sea coral, specific microsatellites markers and ribosomal internal transcribed spacer (ITS) sequences ITS1 and ITS2 were used to investigate 10 different sampling sites, distributed along the European margin and in Scandinavian fjords. Both microsatellite and gene sequence data showed that L. pertusa should not be considered as one panmictic population in the northeast Atlantic but instead forms distinct, offshore and fjord populations. Results also suggest that, if some gene flow is occurring along the continental slope, the recruitment of sexually produced larvae is likely to be strongly local. The microsatellites showed significant levels of inbreeding and revealed that the level of genetic diversity and the contribution of asexual reproduction to the maintenance of the subpopulations were highly variable from site to site. These results are of major importance in the generation of a sustainable management strategy for these diversity-rich deep-sea ecosystems.</t>
  </si>
  <si>
    <t>Univ Southampton, Sch Ocean &amp; Earth Sci, Oceanog Ctr, Southampton SO14 3ZH, Hants, England; Univ Oxford, Dept Zool, Oxford OX1 3PS, England; British Antarctic Survey, Cambridge CB3 0ET, England</t>
  </si>
  <si>
    <t>University of Southampton; NERC National Oceanography Centre; University of Oxford; UK Research &amp; Innovation (UKRI); Natural Environment Research Council (NERC); NERC British Antarctic Survey</t>
  </si>
  <si>
    <t>Univ Southampton, Sch Ocean &amp; Earth Sci, Oceanog Ctr, Empress Dock, Southampton SO14 3ZH, Hants, England.</t>
  </si>
  <si>
    <t>mclg@soc.soton.ac.uk</t>
  </si>
  <si>
    <t>Pybus, Oliver G/B-2640-2012</t>
  </si>
  <si>
    <t>Pybus, Oliver G/0000-0002-8797-2667; Rogers, Alex David/0000-0002-4864-2980</t>
  </si>
  <si>
    <t>0962-1083</t>
  </si>
  <si>
    <t>1365-294X</t>
  </si>
  <si>
    <t>MOL ECOL</t>
  </si>
  <si>
    <t>Mol. Ecol.</t>
  </si>
  <si>
    <t>10.1046/j.1365-294X.2004.2079.x</t>
  </si>
  <si>
    <t>Biochemistry &amp; Molecular Biology; Ecology; Evolutionary Biology</t>
  </si>
  <si>
    <t>Biochemistry &amp; Molecular Biology; Environmental Sciences &amp; Ecology; Evolutionary Biology</t>
  </si>
  <si>
    <t>772DQ</t>
  </si>
  <si>
    <t>WOS:000188825700003</t>
  </si>
  <si>
    <t>Bannister, P; Bannister, JM; Blanchon, DJ</t>
  </si>
  <si>
    <t>Distribution, habitat, and relation to climatic factors of the lichen genus Ramalina in New Zealand</t>
  </si>
  <si>
    <t>NEW ZEALAND JOURNAL OF BOTANY</t>
  </si>
  <si>
    <t>Ramalina; Ramalina arabum; Ramalina australiensis; Ramalina canariensis; Ramalina celastri; Ramalina erumpens; Ramalina fimbriata; Ramalina exiguella; Ramalina geniculata; Ramalina glaucescens; Ramalina inflexa; Ramalina meridionalis; Ramalina pacifica; Ramalina peruviana; Ramalina riparia; Ramalina unilateralis; distribution; habitat; climate; New Zealand; lichens</t>
  </si>
  <si>
    <t>CATALOGUE; FLORA</t>
  </si>
  <si>
    <t>We present maps, based on herbarium records extensively supplemented by our own records, showing the distribution of the 14 species of Ramalina found in New Zealand (excluding the Kermadec, Chatham, and sub-antarctic islands). Species diversity is highest in two areas, eastern Northland (seven species) and coastal Otago (eight species). Only four species (R. canariensis, R. celastri, R. glaucescens, and R. unilateralis) are common to both main islands. Distribution is related to climate and altitude along a latitudinal gradient on the eastern side of New Zealand, from cooler, drier sites and higher altitudes in the south to warmer, moister sites and lower altitudes in the north. Species of Ramalina tend to be absent from sites with various combinations of high rainfall, high altitude, high water deficits, and extremes of temperature. Species reproducing asexually and sexually show similar relationships of frequency to spread, but with sexually reproducing species showing greater frequency at a given degree of spread.</t>
  </si>
  <si>
    <t>Univ Otago, Dept Bot, Dunedin, New Zealand; UNITEC, Resource Management Res Grp, Sch Landscape &amp; Plant Sci, Auckland, New Zealand</t>
  </si>
  <si>
    <t>University of Otago; Unitec NZ</t>
  </si>
  <si>
    <t>Bannister, P (corresponding author), Univ Otago, Dept Bot, POB 56, Dunedin, New Zealand.</t>
  </si>
  <si>
    <t>Blanchon, Dan/0000-0002-7931-5499</t>
  </si>
  <si>
    <t>SIR PUBLISHING</t>
  </si>
  <si>
    <t>WELLINGTON</t>
  </si>
  <si>
    <t>PO BOX 399, WELLINGTON, NEW ZEALAND</t>
  </si>
  <si>
    <t>0028-825X</t>
  </si>
  <si>
    <t>NEW ZEAL J BOT</t>
  </si>
  <si>
    <t>N. Z. J. Bot.</t>
  </si>
  <si>
    <t>10.1080/0028825X.2004.9512894</t>
  </si>
  <si>
    <t>Plant Sciences</t>
  </si>
  <si>
    <t>826CQ</t>
  </si>
  <si>
    <t>WOS:000221806900008</t>
  </si>
  <si>
    <t>Voinov, GN</t>
  </si>
  <si>
    <t>Harmonic analysis of tides from irregular multiyear sea level and current observations</t>
  </si>
  <si>
    <t>OCEANOLOGY</t>
  </si>
  <si>
    <t>TIME</t>
  </si>
  <si>
    <t>Characteristic features of a harmonic analysis of tides from irregular multiyear observation data on sea level and currents are presented. It is shown that the secondary tide waves may be found from incomplete short-term series observed in different years, with a total observation period of more than 4-5 years. It is proposed to verify the solution stability by assessing the degree of dependence of the coefficients of the matrix of a system of normal equations. The results obtained with the proposed method of harmonic analysis applied to sea level and current observation are presented.</t>
  </si>
  <si>
    <t>Arctic &amp; Antarctic Res Inst, St Petersburg 199226, Russia</t>
  </si>
  <si>
    <t>Arctic &amp; Antarctic Research Institute</t>
  </si>
  <si>
    <t>Voinov, GN (corresponding author), Arctic &amp; Antarctic Res Inst, St Petersburg 199226, Russia.</t>
  </si>
  <si>
    <t>Voinov, Gennadiy/E-6141-2016</t>
  </si>
  <si>
    <t>Voinov, Gennadiy/0000-0003-1657-049X</t>
  </si>
  <si>
    <t>INTERPERIODICA</t>
  </si>
  <si>
    <t>BIRMINGHAM</t>
  </si>
  <si>
    <t>PO BOX 1831, BIRMINGHAM, AL 35201-1831 USA</t>
  </si>
  <si>
    <t>0001-4370</t>
  </si>
  <si>
    <t>OCEANOLOGY+</t>
  </si>
  <si>
    <t>Oceanology</t>
  </si>
  <si>
    <t>816EY</t>
  </si>
  <si>
    <t>WOS:000221094400002</t>
  </si>
  <si>
    <t>Williams, M; Zalasiewicz, J</t>
  </si>
  <si>
    <t>The Wenlock Cyrtograptus species of the Builth Wells District, central Wales</t>
  </si>
  <si>
    <t>PALAEONTOLOGY</t>
  </si>
  <si>
    <t>Silurian; Wenlock; graptolites; biostratigraphy; Cyrtograptus; systematics</t>
  </si>
  <si>
    <t>GRAPTOLITE BIOSTRATIGRAPHY; SILURIAN GRAPTOLITES; LLANDOVERY; MIDDLE; CREEK</t>
  </si>
  <si>
    <t>The Wenlock sequence of the Builth Wells district, central Wales is dominated by long-ranging Monograptus, Pristiograptus and Monoclimacis species. Cyrtograptus species, which underpin the graptolite biozonation, represent only about 10 per cent of recovered individuals. Ten Cyrtograptus species are present, most being zonal index species for the Builth district or other Wenlock sequences. Redescription of these Cyrtograptus species and comparison with all pertinent type material indicates that: the early Wenlock Cyrtograptus insectus, C. centrifugus and C. murchisoni are best distinguished by means of first whorl diameter, sicula length and differences of cladial development; mid Wenlock Cyrtograptus rigidus may bear a secondary cladium, but at Builth there are no stratigraphically discrete subspecies; Cyrtograptus linnarssoni is known only from its type locality; the long, gracile proximal part of the rhabdosome of C. ellesae facilitates its distinction from C. perneri, with which it has been confused, and indicates similarities to C. ramosus and C. lundgreni. Differences in the ranges of key Cyrtograptus species present problems for correlation between the lundgreni Biozone of the Builth district and the perneri-ramosus and lundgreni biozones of central Europe. The low diversity and abundance of the cyrtograptid fauna of the Builth district, compared to those of Arctic Canada and the Czech Republic, suggests relatively inhospitable conditions for graptolites.</t>
  </si>
  <si>
    <t>British Geol Survey, Nottingham NG12 5GG, England; Univ Leicester, Dept Geol, Leicester LE1 7RH, Leics, England</t>
  </si>
  <si>
    <t>UK Research &amp; Innovation (UKRI); Natural Environment Research Council (NERC); NERC British Geological Survey; University of Leicester</t>
  </si>
  <si>
    <t>British Antarctic Survey, High Cross,Madingley Rd, Cambridge CB3 0ET, England.</t>
  </si>
  <si>
    <t>mwilli@bgs.ac.uk; jaz1@le.ac.uk</t>
  </si>
  <si>
    <t>Williams, Mark/B-7590-2009</t>
  </si>
  <si>
    <t>Williams, Mark/0000-0002-7987-6069</t>
  </si>
  <si>
    <t>0031-0239</t>
  </si>
  <si>
    <t>1475-4983</t>
  </si>
  <si>
    <t>10.1111/j.0031-0239.2004.00372.x</t>
  </si>
  <si>
    <t>803UM</t>
  </si>
  <si>
    <t>WOS:000220256000003</t>
  </si>
  <si>
    <t>Migdisova, NA; Sushchevskaya, NM; Luttinen, AV; Mikhal'skii, EM</t>
  </si>
  <si>
    <t>Variations in the composition of clinopyroxene from the basalts of various geodynamic settings of the Antarctic Region</t>
  </si>
  <si>
    <t>PETROLOGY</t>
  </si>
  <si>
    <t>ROCKS; MELT; EQUILIBRIA; ELEMENT; DEPTHS; LAVAS</t>
  </si>
  <si>
    <t>A study of clinopyroxenes from the basalts of various geodynamic settings of the Southern Ocean provided insight into the specific conditions of magma formation. Numerical modeling based on the dependency of clinopyroxene composition on pressure and temperature of crystallization (Nimis and Ulmer, 1998) allowed us to estimate the depth of melt fractionation in transitional magma chambers. Three crystallization levels of maomas of various origins were distinguished: (1) a shallow level (1-5 km) characteristic of the Mesozoic flood basalts of Antarctica; (2) a deep level (up to 20 km) revealed in some compositions of Quaternary alkaline magmas from the Antarctic Peninsula (Hobbs Province); and (3) an intermediate level (10-12 km) typical of the majority of magmas from the Hobbs region and tholeiites formed under spreading zone conditions at the western termination of the Southwest Indian Ridge near Bouvet Island. The clinopyroxenes from various olivine-bearing magmas show similar lithophile element distribution patterns. The concentrations of most elements increase with decreasing magnesium and increasing aluminum and sodium contents. The ratio of less compatible to more compatible elements increases in the course of fractionation. The estimated clinopyroxene/melt partition coefficients for the most aphyric alkaline magmas of the Hobbs province increase by an order of magnitude in the sequence from Ba to Yb and show relative Zr and Sr minima, which is consistent with experimental data.</t>
  </si>
  <si>
    <t>Russian Acad Sci, Vernadsky Inst Geochem &amp; Analyt Chem, Moscow 119991, Russia; Univ Helsinki, Dept Geol, FIN-00014 Helsinki, Finland; All Russia Res Inst Geol &amp; Mineral Resources Worl, St Petersburg 190121, Russia</t>
  </si>
  <si>
    <t>Russian Academy of Sciences; Vernadsky Institute of Geochemistry &amp; Analytical Chemistry; University of Helsinki; A.P. Karpinsky Russian Geological Research Institute (VSEGEI)</t>
  </si>
  <si>
    <t>Russian Acad Sci, Vernadsky Inst Geochem &amp; Analyt Chem, Kosygina 19, Moscow 119991, Russia.</t>
  </si>
  <si>
    <t>nadyas@geokhi.ru</t>
  </si>
  <si>
    <t>Мигдисова, Наталья/A-4495-2017</t>
  </si>
  <si>
    <t>Luttinen, Arto Vesa/0000-0002-3129-0392</t>
  </si>
  <si>
    <t>PLEIADES PUBLISHING INC</t>
  </si>
  <si>
    <t>PLEIADES PUBLISHING INC, MOSCOW, 00000, RUSSIA</t>
  </si>
  <si>
    <t>0869-5911</t>
  </si>
  <si>
    <t>1556-2085</t>
  </si>
  <si>
    <t>PETROLOGY+</t>
  </si>
  <si>
    <t>Petrology</t>
  </si>
  <si>
    <t>Geochemistry &amp; Geophysics; Mineralogy</t>
  </si>
  <si>
    <t>834EW</t>
  </si>
  <si>
    <t>WOS:000222395400005</t>
  </si>
  <si>
    <t>Thatje, S; Arntz, WE</t>
  </si>
  <si>
    <t>Antarctic reptant decapods: more than a myth?</t>
  </si>
  <si>
    <t>LARVAL DEVELOPMENT; LITHODES-SANTOLLA; MARINE ECTOTHERMS; SOUTH-AMERICA; CRUSTACEA; CRAB; BIOGEOGRAPHY; COMMUNITIES; LATITUDES; TOLERANCE</t>
  </si>
  <si>
    <t>The impoverished Antarctic decapod fauna is one of the most conspicuous biodiversity phenomena in polar science. Although physiological and ecological approaches have tried to explain the reason for the low decapod biodiversity pattern in the Southern Ocean, the complexity of this problem is still not completely understood. The scant records of crabs south of the Polar Front were always considered as exceptional, and have mostly been ignored by marine biologists world-wide, creating one of the most dogmatic paradigms in polar science. We herein review the record of both adults and larvae of reptants from the Southern Ocean. At present, several species of only lithodid crabs maintain considerable adult populations in circum-Antarctic waters, although they remain absent from the high-Antarctic shelves.</t>
  </si>
  <si>
    <t>Alfred Wegener Inst Polar &amp; Marine Res, D-27515 Bremerhaven, Germany</t>
  </si>
  <si>
    <t>Helmholtz Association; Alfred Wegener Institute, Helmholtz Centre for Polar &amp; Marine Research</t>
  </si>
  <si>
    <t>Thatje, S (corresponding author), Alfred Wegener Inst Polar &amp; Marine Res, POB 120 161, D-27515 Bremerhaven, Germany.</t>
  </si>
  <si>
    <t>sthatje@awi-bremerhaven.de</t>
  </si>
  <si>
    <t>10.1007/s00300-003-0583-z</t>
  </si>
  <si>
    <t>806GV</t>
  </si>
  <si>
    <t>Green Accepted, Green Submitted</t>
  </si>
  <si>
    <t>WOS:000220423300002</t>
  </si>
  <si>
    <t>Chown, SL; Klok, CJ; McGeoch, MA</t>
  </si>
  <si>
    <t>Weather to go out:: activity of Bothrometopus brevis (Curculionidae) at Heard Island</t>
  </si>
  <si>
    <t>SUB-ANTARCTIC ISLAND; MARION ISLAND; MIDALTITUDE FELLFIELD; WEEVILS COLEOPTERA; SPECIES COMPLEX; SOUTH GEORGIA; HABITAT USE; HOUSE MICE; BODY-SIZE; DIET</t>
  </si>
  <si>
    <t>Despite the wealth of knowledge available on the ecology, biology and physiology of the Ectemnorhinus group of weevils, little is known about the determinants of their activity patterns. Here we investigated the relationship between the activity of Bothrometopus brevis (C.O. Waterhouse) and wind direction and strength, precipitation, cloud cover, temperature, relative humidity, and habitat moisture status, on Heard Island. B. brevis was most active during warm, north-wind and light rain conditions or when it was not raining, but its habitat was wet. During heavy precipitation, activity was low, and it was negligible during cold, south-wind conditions, especially during rain or snow. There was a clear relationship between activity and early frontal conditions, which also appears to be consistent across weevil species on Heard and Marion islands. The importance of frontal rain for activity suggests that any change to frontal movement across the islands might have pronounced impacts on weevil activity.</t>
  </si>
  <si>
    <t>Univ Stellenbosch, Dept Zool, Spatial Physiol &amp; Conservat Ecol Grp, ZA-7602 Matieland, South Africa; Univ Stellenbosch, Dept Conservat Ecol, Spatial Physiol &amp; Conservat Ecol Grp, ZA-7602 Matieland, South Africa</t>
  </si>
  <si>
    <t>Stellenbosch University; Stellenbosch University</t>
  </si>
  <si>
    <t>Chown, SL (corresponding author), Univ Stellenbosch, Dept Zool, Spatial Physiol &amp; Conservat Ecol Grp, Private Bag 11, ZA-7602 Matieland, South Africa.</t>
  </si>
  <si>
    <t>slchown@sun.ac.za</t>
  </si>
  <si>
    <t>Chown, Steven/ABD-7646-2021; Chown, Steven L/H-3347-2011; McGeoch, Melodie/F-8353-2011</t>
  </si>
  <si>
    <t>McGeoch, Melodie/0000-0003-3388-2241</t>
  </si>
  <si>
    <t>10.1007/s00300-003-0579-8</t>
  </si>
  <si>
    <t>WOS:000220423300005</t>
  </si>
  <si>
    <t>Blazewicz-Paszkowycz, M; Sekulska-Nalewajko, J</t>
  </si>
  <si>
    <t>Tanaidacea (Crustacea, Malacostraca) of two polar fjords: Kongsfjorden (Arctic) and Admiralty Bay (Antarctic)</t>
  </si>
  <si>
    <t>PHYSICAL-ENVIRONMENT; BENTHIC FAUNA; SVALBARD; DIVERSITY; BIODIVERSITY; ABUNDANCE</t>
  </si>
  <si>
    <t>The tanaidacean faunas of two polar fjords, Kongsfjorden (Arctic) and Admiralty Bay (Antarctic), were compared. The results show that Tanaidacea in the southern fjord are more diversified than those in the northern one. This difference is especially evident in species richness (12 species vs 3 species, respectively), but is not too significant in terms of diversity. In both polar fjords, the highest densities of tanaids were noted in sites where mud was swept off by the water current or eroded off steep bottom expoing coarser mineral particles used for tube building. The distribution of tanaids is suggested to be based on the joint action of inter alia factors such as the quality of bottom sediments, sedimentation ratio, accessibility of food, predation pressure, behaviour and heterogeneity of habitats.</t>
  </si>
  <si>
    <t>Univ Lodz, Dept Polar Biol &amp; Oceanobiol, PL-90131 Lodz, Poland</t>
  </si>
  <si>
    <t>University of Lodz</t>
  </si>
  <si>
    <t>Univ Lodz, Dept Polar Biol &amp; Oceanobiol, Banacha 12-16, PL-90131 Lodz, Poland.</t>
  </si>
  <si>
    <t>magdab@biol.uni.lodz.pl</t>
  </si>
  <si>
    <t>Sekulska-Nalewajko, Joanna/L-9551-2018; Błażewicz, Magdalena/J-5175-2017</t>
  </si>
  <si>
    <t>Sekulska-Nalewajko, Joanna/0000-0001-6540-352X; Blazewicz, Magdalena/0000-0002-4753-3424</t>
  </si>
  <si>
    <t>10.1007/s00300-003-0585-x</t>
  </si>
  <si>
    <t>WOS:000220423300006</t>
  </si>
  <si>
    <t>Cerrano, C; Calcinai, B; Cucchiari, E; Di Camillo, C; Totti, C; Bavestrello, G</t>
  </si>
  <si>
    <t>The diversity of relationships between Antarctic sponges and diatoms:: the case of Mycale acerata Kirkpatrick, 1907 (Porifera, Demospongiae)</t>
  </si>
  <si>
    <t>ECOLOGY</t>
  </si>
  <si>
    <t>The diatom assemblage associated with the Antarctic sponge Mycale acerata was studied through an analysis of the diatom frustule and pigment concentrations in both the sponge ectosome and choanosome. Sponges were sampled weekly from November 2001 to February 2002 at Terra Nova Bay, Antarctica, at a depth of 25-35 m. The most abundant diatoms were Porannulus contentus, Fragilariopsis curta, Thalassiosira cf. gracilis, T. perpusilla and Plagiotropis sp. High abundances of P. contentus were found on the sponge ectosome up to the beginning of November, before the ice melted, while later frustules were incorporated inside, indicating that P. contentus lives epibiontically on M. acerata and represents a potential food source for the sponge. The presence of other diatom species was mainly related to the summer phytoplankton bloom. The sponge incorporates diatoms from the water column and utilises them as a food source, accumulating frustules inside the choanosome. The lack of planktonic diatom frustules at the beginning of the summer indicates that they are expelled or dissolved during the cold season.</t>
  </si>
  <si>
    <t>Univ Politecn Marche, Dipartimento Sci Mare, I-60131 Ancona, Italy; Univ Genoa, DIP TE RIS, I-16100 Genoa, Italy</t>
  </si>
  <si>
    <t>Marche Polytechnic University; University of Genoa</t>
  </si>
  <si>
    <t>Univ Politecn Marche, Dipartimento Sci Mare, Via Brecce Bianche, I-60131 Ancona, Italy.</t>
  </si>
  <si>
    <t>cecilia@univpm.it</t>
  </si>
  <si>
    <t>Di Camillo, Cristina/AAI-5960-2021; Bavestrello, Giorgio/JXN-5230-2024; Cerrano, Carlo/AAF-3557-2019; TOTTI, Cecilia Maria/A-9178-2016</t>
  </si>
  <si>
    <t>Di Camillo, Cristina/0000-0002-4031-8158; Cerrano, Carlo/0000-0001-9580-5546; TOTTI, Cecilia Maria/0000-0002-1532-6009</t>
  </si>
  <si>
    <t>ONE NEW YORK PLAZA, SUITE 4600, NEW YORK, NY, UNITED STATES</t>
  </si>
  <si>
    <t>10.1007/s00300-003-0581-1</t>
  </si>
  <si>
    <t>WOS:000220423300007</t>
  </si>
  <si>
    <t>Roberts, EC; Priscu, JC; Wolf, C; Lyons, WB; Laybourn-Parry, J</t>
  </si>
  <si>
    <t>The distribution of microplankton in the McMurdo Dry Valley Lakes, Antarctica: response to ecosystem legacy or present-day climatic controls?</t>
  </si>
  <si>
    <t>MIXOTROPHIC CRYPTOPHYTES; PLANKTON; DYNAMICS; FRYXELL; CARBON; COMMUNITIES; DEFICIENCY; VOLUME; LAND</t>
  </si>
  <si>
    <t>Plankton abundance and biomass were investigated in five lakes of the McMurdo Dry Valleys, Antarctica: Lakes Bonney, Fryxell, Joyce, Hoare and Miers. Despite plankton communities being dominated by organisms &lt;100 mum in length, there were striking differences between the lakes, including large variations in plankton vertical distribution and differences in total plankton biomass. Bacterial biomass was highest in the anoxic monimolimnia of the meromictic lakes, reaching 191 mug C l(-1) in Lake Fryxell. Photosynthetic nanoflagellates dominated phytoplankton in the five lakes studied. Highest chlorophyll a concentrations were recorded at the chemocline of Lake Fryxell (21 mug chl a l(-1)). Heterotrophic nanoflagellate concentrations were low, ranging from 2 cells ml(-1) in Hoare to 237 cells ml(-1) in Bonney. By Antarctic standards, ciliates were relatively successful in terms of biomass and diversity in Lakes Fryxell and Hoare. In contrast, Lake Miers possessed extremely low ciliate abundance (&lt;0.04 cells ml(-1)). On both sampling occasions, copepod nauplii were observed in Lake Joyce. This is the first recording of crustacean zooplankton within the McMurdo Dry Valley Lakes. Because the foodwebs of these lakes are structured by bottom-up forces, differences in plankton distributions could be related to the physicochemical characteristics of each lake. The effect of lake evolution (legacy) and present-day climate change on planktonic dynamics is discussed.</t>
  </si>
  <si>
    <t>Univ Nottingham, Sch Biosci, Nottingham NG7 2RD, England; British Antarctic Survey, Cambridge CB3 0ET, England; Montana State Univ, Dept Land Resources &amp; Environm Sci, Bozeman, MT 59717 USA; Ohio State Univ, Byrd Polar Res Ctr, Columbus, OH 43210 USA</t>
  </si>
  <si>
    <t>University of Nottingham; UK Research &amp; Innovation (UKRI); Natural Environment Research Council (NERC); NERC British Antarctic Survey; Montana State University System; Montana State University Bozeman; University System of Ohio; Ohio State University</t>
  </si>
  <si>
    <t>Univ Wales Swansea, Sch Biol Sci, Singleton Pk, Swansea SA2 8PP, W Glam, Wales.</t>
  </si>
  <si>
    <t>e.roberts@swansea.ac.uk</t>
  </si>
  <si>
    <t>10.1007/s00300-003-0582-0</t>
  </si>
  <si>
    <t>WOS:000220423300008</t>
  </si>
  <si>
    <t>Deshpande, CG; Kamra, AK</t>
  </si>
  <si>
    <t>Physical properties of aerosols at Maitri, Antarctica</t>
  </si>
  <si>
    <t>PROCEEDINGS OF THE INDIAN ACADEMY OF SCIENCES-EARTH AND PLANETARY SCIENCES</t>
  </si>
  <si>
    <t>Antarctic aerosols; coastal aerosols; aerosol size distribution; aerosols transport with polar lows; Maitri aerosols</t>
  </si>
  <si>
    <t>MARINE BOUNDARY-LAYER; ELECTRICAL-CONDUCTIVITY; PARTICLE FORMATION; SIZE DISTRIBUTION; ATMOSPHERE; ACE-1; POLLUTION; ORIGIN; OCEAN; AIR</t>
  </si>
  <si>
    <t>Measurements of the submicron aerosol size distribution made at the Indian Antarctic station, Maitri (70degrees45'S, 11degrees44'E) from January 10th to February 24th, 1997, are reported. Total aerosol concentrations normally range from 800 to 1200 particles cm(-3) which are typical values for the coastal stations at Antarctica in summer. Aerosol size distributions are generally trimodal and open-ended with a peak between 75 and 133 nm and two minima at 42 and 420 nm. Size distributions remain almost similar for several hours or even days in absence of any meteorological disturbance. Total aerosol concentration increases by approximately an order of magnitude whenever a low pressure system passes over the station. Based on the evolution of aerosol size-distributions during such aerosol enhancement periods, three types of cases have been identified. The nucleation mode in all three cases has been suggested to result from the photochemical conversion of the DMS emissions transported either by the marine air or by the air from the ice-melt regions around Maitri. Subsidence of midtropospheric air during the weakening of radiative inversion is suggested as a possible source of the nucleation mode particles in the third case. Growth of the nucleation mode particles by condensation, coagulation and/or by cloud processes has been suggested to be responsible for other modes in size distributions.</t>
  </si>
  <si>
    <t>Indian Inst Trop Meteorol, Pune, Maharashtra, India</t>
  </si>
  <si>
    <t>Ministry of Earth Sciences (MoES) - India; Indian Institute of Tropical Meteorology (IITM)</t>
  </si>
  <si>
    <t>Deshpande, CG (corresponding author), Indian Inst Trop Meteorol, Pune, Maharashtra, India.</t>
  </si>
  <si>
    <t>INDIAN ACADEMY SCIENCES</t>
  </si>
  <si>
    <t>P B 8005 C V RAMAN AVENUE, BANGALORE 560 080, INDIA</t>
  </si>
  <si>
    <t>0253-4126</t>
  </si>
  <si>
    <t>P INDIAN AS-EARTH</t>
  </si>
  <si>
    <t>Proc. Indian Acad. Sci.-Earth Planet. Sci</t>
  </si>
  <si>
    <t>802WC</t>
  </si>
  <si>
    <t>WOS:000220192600001</t>
  </si>
  <si>
    <t>Fang, AM; Liu, XH; Lee, JI; Li, XL; Huang, FX</t>
  </si>
  <si>
    <t>Sedimentary environments of the Cenozoic sedimentary debris found in the moraines of the Grove Mountains, east Antarctica and its climatic implications</t>
  </si>
  <si>
    <t>PROGRESS IN NATURAL SCIENCE-MATERIALS INTERNATIONAL</t>
  </si>
  <si>
    <t>Grove Mountains; east antarctica; diamicton; sedimentary environments; climatic change</t>
  </si>
  <si>
    <t>TRANSANTARCTIC MOUNTAINS; SIRIUS GROUP; AMERY OASIS; ICE-SHEET; HISTORY; ADVANCE</t>
  </si>
  <si>
    <t>During the field work of the 1998-1999's and 1999-2000's Chinese National Antarctic Research Expedition CHNARE) in the Grove Mountains, east Antarctica, some Cenozoic sedimentary debris are found in two terminal moraine banks over the blue ice near Harding Mount in the center of this region. All the debris are of characteristics of glaciogenic diamicton and belong to the products of the glacial movements of the East Antarctic Ice Sheet. In this paper, the authors make a detailed study on the sedimentary environments of the sedimentary debris through petrologic, sedimentological, mineralogical, and geo-chemical methods. Characteristics of their sedimentary textures and structures, grain size distributions, quartz grains' surface textures and features, together with their geo-chemical compositions all show that these sedimentary rocks are a kind of subglacial lodgement tills which are deposited in the ice sheet frontal area by reactions of glacial movements and glaciogenic melt water. Their palaeoenvironmental implications in revealing the retreat history of East Antarctic Ice Sheet are discussed. The authors draw the conclusion from current study that the glacial frontal of the East Antarctica Ice Sheet might have been retreated to this area during the Pliocene Epoch, which represents a warm climate event accompanied by a large-scale ice sheet retreat in Antarctica at that time.</t>
  </si>
  <si>
    <t>Chinese Acad Sci, Inst Geol &amp; Geophys, Lab Lithoshpere Tecton Evolut, Beijing 100029, Peoples R China; Korea Ocean Res &amp; Dev Inst, Seoul 425600, South Korea</t>
  </si>
  <si>
    <t>Chinese Academy of Sciences; Institute of Geology &amp; Geophysics, CAS; Korea Institute of Ocean Science &amp; Technology (KIOST)</t>
  </si>
  <si>
    <t>Huang, FX (corresponding author), Chinese Acad Sci, Inst Geol &amp; Geophys, Lab Lithoshpere Tecton Evolut, Beijing 100029, Peoples R China.</t>
  </si>
  <si>
    <t>fam@mail.igcas.ac.cn</t>
  </si>
  <si>
    <t>1002-0071</t>
  </si>
  <si>
    <t>1745-5391</t>
  </si>
  <si>
    <t>PROG NAT SCI-MATER</t>
  </si>
  <si>
    <t>Prog. Nat. Sci.</t>
  </si>
  <si>
    <t>10.1080/10020070412331343391</t>
  </si>
  <si>
    <t>Materials Science, Multidisciplinary; Multidisciplinary Sciences</t>
  </si>
  <si>
    <t>Materials Science; Science &amp; Technology - Other Topics</t>
  </si>
  <si>
    <t>812ZZ</t>
  </si>
  <si>
    <t>WOS:000220878700005</t>
  </si>
  <si>
    <t>Thorn, VC</t>
  </si>
  <si>
    <t>Phytolith evidence for C4-dominated grassland since the early Holocene at long pocket, northeast Queensland, Australia</t>
  </si>
  <si>
    <t>QUATERNARY RESEARCH</t>
  </si>
  <si>
    <t>phytoliths; Australia; Queensland; holocene; C4; grasslands</t>
  </si>
  <si>
    <t>VEGETATION CHANGE; POLLEN; RECORD; TERRESTRIAL; SEDIMENTS; CLIMATE</t>
  </si>
  <si>
    <t>Preliminary phytolith analysis of ephemeral lake fill sediment at Long Pocket, near Toomba, northeast Queensland, Australia, indicates that a C4-dominated grassland with a minor woody component has been present in the region since ca. 8000 cal yr B.P. Based on the modem distribution of C4 and C3 native grasses in Australia, this suggests that mean summer temperatures of at least 14 degreesC (ca. 10 degreesC cooler than present) were maintained since the early Holocene. This interpretation is comparable with previous studies, which together imply that the establishment of C4-dominated grasses in central and northeast Australia occurred between the last glacial maximum (most likely after ca. 16,000 C-14 yr B.P.) and ca. 7200 C-14 yr B.P. (ca. 8000 cal yr B.P.). Taxonomic composition of the grassland appears relatively consistent since the early Holocene at Long Pocket and includes phytoliths comparable with those from modem Arundinoideae, Panicoideae, and Chloridoideae. Rare non-grass phytoliths are also present. A gradual decrease in abundance of saddle phytolith forms (attributed to Chloridoideae grasses) from the base of the record at ca. 6500-7000 cal yr B.P. suggests decreasing aridity throughout the Holocene. This trend could reflect a locally drawn out effect of the end of the postglacial and period due to the well-drained basalt flow catchment maintaining a local and habitat for the Chloridoideae grasses. (C) 2004 University of Washington. All rights reserved.</t>
  </si>
  <si>
    <t>Victoria Univ Wellington, Antarctic Res Ctr, Wellington, New Zealand</t>
  </si>
  <si>
    <t>Victoria University Wellington</t>
  </si>
  <si>
    <t>Victoria Univ Wellington, Antarctic Res Ctr, POB 600, Wellington, New Zealand.</t>
  </si>
  <si>
    <t>vanessa.thorn@vuw.ac.nz</t>
  </si>
  <si>
    <t>Bowman, Vanessa/0000-0002-4887-3949</t>
  </si>
  <si>
    <t>0033-5894</t>
  </si>
  <si>
    <t>1096-0287</t>
  </si>
  <si>
    <t>QUATERNARY RES</t>
  </si>
  <si>
    <t>Quat. Res.</t>
  </si>
  <si>
    <t>10.1016/j.yqres.2003.12.002</t>
  </si>
  <si>
    <t>808QQ</t>
  </si>
  <si>
    <t>WOS:000220584000005</t>
  </si>
  <si>
    <t>Hirsch, P; Mevs, U; Kroppenstedt, RM; Schumann, P; Stackebrandt, E</t>
  </si>
  <si>
    <t>Cryptoenclolithic actinomycetes from antarctic sandstone rock samples:: Micromonospora endolithica sp nov and two isolates related to micromonospora coerulea Jensen 1932</t>
  </si>
  <si>
    <t>SYSTEMATIC AND APPLIED MICROBIOLOGY</t>
  </si>
  <si>
    <t>Micromonospora; antarctic; sandstone; cryptoendolithic</t>
  </si>
  <si>
    <t>DRY VALLEYS; DEOXYRIBONUCLEIC-ACID; RENATURATION RATES; DNA HYBRIDIZATION; ASGARD RANGE; GEN. NOV.; BACTERIA; MICROORGANISMS; IDENTIFICATION; PROPOSAL</t>
  </si>
  <si>
    <t>Three cryptoendolithic, aerobic actinomycetes (AA-459(T), AA-319 and AA-321) from antarctic sandstone were characterised phenotypically and by molecular taxonomic methods. The isolates had single spores on substrate mycelium, meso-diaminopimelic acid (m-DAP) and glycine (cell wall type 11), a whole cell sugar pattern D (galactose, xylose, arabinose, glucose or rhamnose) and phospholipids of type PII (diphosphatidylglycerol, phosphatidylethanolamine, phosphatidylinositol). Their predominant fatty acids were iso-16:0 and iso-15:0 or 1.7:1omega8c, the menaquinone profile was complex with mainly MK10 (H,) and MK10 (H-6). A wide variety of sugars and several acids were utilised for growth. The isolates were sensitive to a few antibiotics, but formation and excretion of antibiotics was not observed. Phenotypically, isolates AA-319 and AA-321 were similar. Phylogenetic analysis of 16S rRNA gene sequences revealed close relationship of strains AA-319 and AA-321 with each other (99.5%) and clustering (98.5%) with Micromonospora coerulea DSM 43143(T). DNA-DNA hybridisation showed both strains to be genomically highly similar to strain DSM 43143 T. Phenotypically they could be viewed as separate taxa, but presently they will be considered as strains of Micromonospora coerulea. Strain AA-459(T) was phylogenetically close to Micromonospora chersina DSM 44151(T) (99.1%) and to Micromonospora rosaria DSM 803(T), but DNA-DNA similarity with M. chersina DSM 44151(T) was low with 28.9/33.5%, indicating the presence of a different and new species. Consequently, isolate AA-459(T) (DSM 44398(T), NRRL B-24248(T)) is described as the type strain of Micromonospora endolithica sp. nov.</t>
  </si>
  <si>
    <t>Univ Kiel, Inst Allgemeine Mikrobiol, D-24118 Kiel, Germany; DSMZ, Braunschweig, Germany</t>
  </si>
  <si>
    <t>University of Kiel; Leibniz Institut fur Deutsche Sammlung von Mikroorganismen und Zellkulturen (DSMZ)</t>
  </si>
  <si>
    <t>Hirsch, P (corresponding author), Univ Kiel, Inst Allgemeine Mikrobiol, Botanischen garten 1-9, D-24118 Kiel, Germany.</t>
  </si>
  <si>
    <t>phirsch@ifam.uni-kiel.de</t>
  </si>
  <si>
    <t>Schumann, Peter/AAL-1098-2020</t>
  </si>
  <si>
    <t>Schumann, Peter/0000-0002-2251-4091; Stackebrandt, Erko/0000-0002-6130-760X</t>
  </si>
  <si>
    <t>URBAN &amp; FISCHER VERLAG</t>
  </si>
  <si>
    <t>JENA</t>
  </si>
  <si>
    <t>BRANCH OFFICE JENA, P O BOX 100537, D-07705 JENA, GERMANY</t>
  </si>
  <si>
    <t>0723-2020</t>
  </si>
  <si>
    <t>SYST APPL MICROBIOL</t>
  </si>
  <si>
    <t>Syst. Appl. Microbiol.</t>
  </si>
  <si>
    <t>10.1078/072320204322881781</t>
  </si>
  <si>
    <t>Biotechnology &amp; Applied Microbiology; Microbiology</t>
  </si>
  <si>
    <t>806XT</t>
  </si>
  <si>
    <t>WOS:000220467300006</t>
  </si>
  <si>
    <t>Sabé, R; Rauret, G</t>
  </si>
  <si>
    <t>Challenges for achieving traceability of analytical measurements of heavy metals in environmental samples by isotopic dilution mass spectrometry</t>
  </si>
  <si>
    <t>TRAC-TRENDS IN ANALYTICAL CHEMISTRY</t>
  </si>
  <si>
    <t>environmental analysis; isotope dilution; traceability</t>
  </si>
  <si>
    <t>CANDIDATE REFERENCE MATERIAL; ICP-MS; TRACE-ELEMENTS; ANTARCTIC SEDIMENT; WATER SAMPLE; CADMIUM; PB; CD; CERTIFICATION; LEAD</t>
  </si>
  <si>
    <t>Traceability implies comparison of the results at different levels, beginning with the laboratory and ending in a global exchange of analytical results obtained in different laboratories. This article discusses the way traceability can be achieved in different steps of the analysis of heavy metals in environmental samples by isotope dilution mass spectrometry. (C) 2003 Elsevier Ltd. All rights reserved.</t>
  </si>
  <si>
    <t>Univ Barcelona, Dept Quim Analit, E-08028 Barcelona, Spain</t>
  </si>
  <si>
    <t>University of Barcelona</t>
  </si>
  <si>
    <t>Univ Barcelona, Dept Quim Analit, Avda Diagonal 647,3rd Floor, E-08028 Barcelona, Spain.</t>
  </si>
  <si>
    <t>gemma.rauret@apolo.qui.ub.es</t>
  </si>
  <si>
    <t>ELSEVIER SCI LTD</t>
  </si>
  <si>
    <t>THE BOULEVARD, LANGFORD LANE, KIDLINGTON, OXFORD OX5 1GB, OXON, ENGLAND</t>
  </si>
  <si>
    <t>0165-9936</t>
  </si>
  <si>
    <t>1879-3142</t>
  </si>
  <si>
    <t>TRAC-TREND ANAL CHEM</t>
  </si>
  <si>
    <t>Trac-Trends Anal. Chem.</t>
  </si>
  <si>
    <t>10.1016/S0165-9936(04)00311-5</t>
  </si>
  <si>
    <t>Chemistry, Analytical</t>
  </si>
  <si>
    <t>Chemistry</t>
  </si>
  <si>
    <t>804UZ</t>
  </si>
  <si>
    <t>WOS:000220324900022</t>
  </si>
  <si>
    <t>Krasnov, YV; Chernook, VI; Gavrilo, MV; Shavykin, AA; Tereshchenko, VA</t>
  </si>
  <si>
    <t>Use of plane-laboratories in aerial survey of marine birds and mammals over the Arctic seas areas</t>
  </si>
  <si>
    <t>COUNTING SEABIRDS; PUP PRODUCTION</t>
  </si>
  <si>
    <t>The results of studying marine birds and mammals in the Barents Sea and White Sea using IL-18D and AN-28BRL aircrafts are presented. The suggested method (visual aerial census at a height of 80-200 m, flying speed 235-380 km/h) allowed one to detect 13 species of marine mammals and more than 30 waterfowl species. The influence of observation conditions on the census results, as well as merits and limitations of the proposed method as compared to ship-based and light plane-based surveys, are discussed. The use of plane-laboratories equipped with a computer complex and remote sensing facilities may provide a unique information pool for a relatively short time period. Such information characterizes not only the distribution and numbers of marine birds and mammals, but also the state of other environmental components. The merits of the proposed methods are as follows: the possibility to conduct a quasi-simultaneous broad-scale ecological survey over a large marine area supported by digital maps and exclusion of the factors preventing ship-based surveys (responses of animals to vessels, difficulties of studies in shallow and icy water, etc.). The maps characterizing the distribution of kittiwakes and capelins, fulmars, sea ducks, swans, marine mammals over the areas observed are presented. The method is recommended for regional complex monitoring of Arctic marine ecosystems.</t>
  </si>
  <si>
    <t>Russian Acad Sci, Kola Sci Ctr, Murmansk Marine Biol Inst, Murmansk 183002, Russia.</t>
  </si>
  <si>
    <t>natasha@andy.phys.msu-su</t>
  </si>
  <si>
    <t>Gavrilo, Maria V/R-7091-2016; Krasnov, Yuri V/H-1581-2016; Shavykin, Anatoly/G-8072-2016</t>
  </si>
  <si>
    <t>Gavrilo, Maria V/0000-0002-3500-9617; Shavykin, Anatoliy/0000-0003-0538-8115; Shavykin, Anatoly/0000-0002-2049-0698</t>
  </si>
  <si>
    <t>815BS</t>
  </si>
  <si>
    <t>WOS:000221018400006</t>
  </si>
  <si>
    <t>Boger, SD; Miller, JM</t>
  </si>
  <si>
    <t>Terminal suturing of Gondwana and the onset of the Ross-Delamerian Orogeny: the cause and effect of an Early Cambrian reconfiguration of plate motions</t>
  </si>
  <si>
    <t>EARTH AND PLANETARY SCIENCE LETTERS</t>
  </si>
  <si>
    <t>Ross; Delamerian; Tyennan; Kuunga; Antarctica; Australia; Cambrian; Gondwana; plate reorganisation; suturing</t>
  </si>
  <si>
    <t>NORTHERN VICTORIA LAND; CENTRAL TRANSANTARCTIC MOUNTAINS; PAN-AFRICAN METAMORPHISM; PRINCE-CHARLES MOUNTAINS; EAST ANTARCTIC SHIELD; HIGH-GRADE GNEISSES; U-PB GEOCHRONOLOGY; LARSEMANN HILLS; PACIFIC MARGIN; ZIRCON AGES</t>
  </si>
  <si>
    <t>A review of U-Pb age data from intrusive and volcanic rocks for Antarctica and Australia has highlighted the remarkable synchronicity in the shift from passive margin or continental are tectonism, to convergent orogenesis along the Pacific margin of Gondwana. This event, the Ross-Delamerian Orogeny, marks a distinct and rapid shift in the style of deformation, rate of uplift, volume of magmatism and syn-orogenic sedimentation along the entire 4000+ km length of the orogen. The Ross-Delamerian Orogeny is constrained to have begun at 515+/-5 Ma, an interval that also encompasses the youngest collisional events that lead to the suturing of Gondwana. We propose that these geographically separate events are intimately linked and represent the cause and effect of a major tectonic reorganisation in the motion of the Earth's plates. We suggest the mechanism controlling this Early to Middle Cambrian plate reorganisation was the rapid reduction in relative motion, driven by continental collision, between the final two components of Gondwana. Due to the need to maintain a zero sum for all plate motions, the change in the rate of convergence at this boundary resulted in compensatory changes elsewhere in the global plate circuit. One such change was an increase in the rate and perhaps direction of convergence along the Pacific margin of Gondwana. (C) 2003 Elsevier B.V. All rights reserved.</t>
  </si>
  <si>
    <t>Univ Melbourne, Sch Earth Sci, Melbourne, Vic 3010, Australia</t>
  </si>
  <si>
    <t>University of Melbourne; Melbourne Bioinformatics</t>
  </si>
  <si>
    <t>Univ Melbourne, Sch Earth Sci, Melbourne, Vic 3010, Australia.</t>
  </si>
  <si>
    <t>sdboger@unimelb.edu.au</t>
  </si>
  <si>
    <t>Boger, Steven/B-8799-2013</t>
  </si>
  <si>
    <t>Boger, Steven/0000-0003-0739-6266</t>
  </si>
  <si>
    <t>0012-821X</t>
  </si>
  <si>
    <t>1385-013X</t>
  </si>
  <si>
    <t>EARTH PLANET SC LETT</t>
  </si>
  <si>
    <t>Earth Planet. Sci. Lett.</t>
  </si>
  <si>
    <t>FEB 28</t>
  </si>
  <si>
    <t>10.1016/S0012-821X(03)00692-7</t>
  </si>
  <si>
    <t>778EF</t>
  </si>
  <si>
    <t>WOS:000189225900004</t>
  </si>
  <si>
    <t>Volbers, ANA; Henrich, R</t>
  </si>
  <si>
    <t>Calcium carbonate corrosiveness in the South Atlantic during the Last Glacial Maximum as inferred from changes in the preservation of Globigerina bulloides:: A proxy to determine deep-water circulation patterns?</t>
  </si>
  <si>
    <t>MARINE GEOLOGY</t>
  </si>
  <si>
    <t>calcium carbonate dissolution; calcite lysocline; planktic foraminifera; Globigerina bulloides; Last Glacial Maximum; South Atlantic</t>
  </si>
  <si>
    <t>OCEAN THERMOHALINE CIRCULATION; NORTH-ATLANTIC; BOTTOM WATER; CLIMATE; VARIABILITY; SEA; DISSOLUTION; SEDIMENTS; RECONSTRUCTION; DISTRIBUTIONS</t>
  </si>
  <si>
    <t>The modern Atlantic Ocean, dominated by the interactions of North Atlantic Deep Water (NADW) and Antarctic Bottom Water (AABW), plays a key role in redistributing heat from the Southern to the Northern Hemisphere. In order to reconstruct the evolution of the relative importance of these two water masses, the NADW/AABW transition, reflected by the calcite lysocline, was investigated by the Globigerina bulloides dissolution index (BDX'). The depth level of the Late Glacial Maximum (LGM) calcite lysocline was elevated by several hundred metres, indicating a more corrosive water mass present at modern NADW level. Overall, the small range of BDX' data and the gradual decrease in preservation below the calcite lysocline point to a less stratified Atlantic Ocean during the LGM. Similar preservation patterns in the West and East Atlantic demonstrate that the modern west-east asymmetry did not exist due to an expansion of southern deep waters compensating for the decrease in NADW formation. (C) 2004 Elsevier B.V. All rights reserved.</t>
  </si>
  <si>
    <t>Univ Bremen, Fac Geosci, Dept Paleoceanog &amp; Sedimentol, D-28334 Bremen, Germany</t>
  </si>
  <si>
    <t>University of Bremen</t>
  </si>
  <si>
    <t>Bundesanstalt Geowissensch &amp; Rohstoffe, Stilleweg 2, D-30655 Hannover, Germany.</t>
  </si>
  <si>
    <t>a.volbers@bgr.de</t>
  </si>
  <si>
    <t>0025-3227</t>
  </si>
  <si>
    <t>1872-6151</t>
  </si>
  <si>
    <t>MAR GEOL</t>
  </si>
  <si>
    <t>Mar. Geol.</t>
  </si>
  <si>
    <t>10.1016/S0025-3227(03)00372-4</t>
  </si>
  <si>
    <t>Geosciences, Multidisciplinary; Oceanography</t>
  </si>
  <si>
    <t>Geology; Oceanography</t>
  </si>
  <si>
    <t>779VF</t>
  </si>
  <si>
    <t>WOS:000189321600004</t>
  </si>
  <si>
    <t>Dowdeswell, JA; Cofaigh, CO; Pudsey, CJ</t>
  </si>
  <si>
    <t>Continental slope morphology and sedimentary processes at the mouth of an Antarctic palaeo-ice stream</t>
  </si>
  <si>
    <t>Antarctic Ice Sheet; Antarctic Peninsula; continental slope; ice stream; Marguerite Bay; swath bathymetry</t>
  </si>
  <si>
    <t>PLEISTOCENE-HOLOCENE RETREAT; SEA-FLOOR EVIDENCE; SEISMIC STRATIGRAPHY; PACIFIC MARGIN; HIGH-LATITUDE; SHEET SYSTEM; RISE WEST; ROSS SEA; PENINSULA; FAN</t>
  </si>
  <si>
    <t>Continental-slope and shelf-edge morphology off Marguerite Bay, western Antarctic Peninsula, is investigated using swath-bathymetric data and parametric sub-bottom profiler records, together with sediment cores. Marguerite Bay has a well-defined cross-shelf trough, and a relatively steep continental slope. The slope beyond the trough mouth is convex in longitudinal profile, whereas to the north and south it is concave and reaches a maximum of 12degrees. There are no deep canyons cutting into the prograding outer shelf and slope. Instead, a series of gullies runs down the upper slope, reaching depths of &gt;200 m south of the trough mouth but &lt;120 m deep beyond the trough. The mid and lower slope appears to be relatively smooth and downslope sediment transfer is probably by small-scale slides, slumps and debris flows. The continental rise contains dendritic channels related to turbidity currents, and sediment drifts produced by southwest-flowing bottom currents from the fine-grained component of the turbidity currents. Elongate sedimentary bedforms indicate that a fast-flowing ice stream occupied the trough under full-glacial conditions, and transferred deforming subglacial till rapidly to the shelf edge. By contrast, on either side of the trough mouth, ice is inferred to have been slower-moving and probably cold-based, delivering little sediment to the upper slope. The steepness of the continental slope results in rapid downslope sediment transfer by debris flows, slumps and turbidity currents and accounts for the lack of a well-developed trough-mouth fan, which is typical of many lower-gradient glacier-influenced margins. (C) 2003 Elsevier B.V. All rights reserved.</t>
  </si>
  <si>
    <t>Univ Cambridge, Scott Polar Res Inst, Cambridge CB2 1ER, England; British Antarctic Survey, Cambridge CB3 0ET, England</t>
  </si>
  <si>
    <t>University of Cambridge; UK Research &amp; Innovation (UKRI); Natural Environment Research Council (NERC); NERC British Antarctic Survey</t>
  </si>
  <si>
    <t>Univ Cambridge, Scott Polar Res Inst, Cambridge CB2 1ER, England.</t>
  </si>
  <si>
    <t>jd16@cam.ac.uk</t>
  </si>
  <si>
    <t>Dowdeswell, Julian/0000-0003-1369-9482</t>
  </si>
  <si>
    <t>10.1016/S0025-3227(03)00338-4</t>
  </si>
  <si>
    <t>WOS:000189321600011</t>
  </si>
  <si>
    <t>Mahesh, A</t>
  </si>
  <si>
    <t>Improved detection of large cirrus particles from infrared spectral observations</t>
  </si>
  <si>
    <t>ANTARCTIC PLATEAU; RADIATION</t>
  </si>
  <si>
    <t>Spectral observations of cirrus clouds can be analyzed to obtain cloud particle effective radii using measurements at select wavenumbers in the infrared atmospheric window. The suitability of these wavenumbers to determine a range of sizes is constrained by the dependence on particle radius of ice absorption efficiency (Q(abs)). By using only those wavenumbers at which Q(abs) varies monotonically with radius, cloud particle radii up to approximately 20 mm can be determined; larger values, however, present problems. At some wavenumbers, the variation in Q(abs) is not sufficiently large to distinguish between large particle radii. At other wavenumbers, larger particles are more easily distinguished, but Q(abs) values do not correspond to unique particle radii. Using one set of wavenumbers only to determine whether the particle is large or small, and a second set to actually determine the effective radius of a large cloud particle, the limitations faced at individual wavenumbers can be partially overcome. This is demonstrated using yearlong spectral observations of ice clouds at South Pole station.</t>
  </si>
  <si>
    <t>NASA, Goddard Space Flight Ctr, Greenbelt, MD 20771 USA; Univ Maryland Baltimore Cty, Goddard Earth Sci &amp; Technol Ctr, Baltimore, MD 21228 USA</t>
  </si>
  <si>
    <t>National Aeronautics &amp; Space Administration (NASA); NASA Goddard Space Flight Center; National Aeronautics &amp; Space Administration (NASA); NASA Goddard Space Flight Center; University System of Maryland; University of Maryland Baltimore County</t>
  </si>
  <si>
    <t>Mahesh, A (corresponding author), NASA, Goddard Space Flight Ctr, Greenbelt, MD 20771 USA.</t>
  </si>
  <si>
    <t>mahesh@agnes.gsfc.nasa.gov</t>
  </si>
  <si>
    <t>FEB 26</t>
  </si>
  <si>
    <t>L04110</t>
  </si>
  <si>
    <t>10.1029/2003GL018768</t>
  </si>
  <si>
    <t>803EZ</t>
  </si>
  <si>
    <t>WOS:000220215700002</t>
  </si>
  <si>
    <t>Sturm, P; Leuenberger, M; Sirignano, C; Neubert, REM; Meijer, HAJ; Langenfelds, R; Brand, WA; Tohjima, Y</t>
  </si>
  <si>
    <t>Permeation of atmospheric gases through polymer O-rings used in flasks for air sampling</t>
  </si>
  <si>
    <t>permeation; air sampling; storage effects</t>
  </si>
  <si>
    <t>SOUTHERN-HEMISPHERE AIR; CARBON-CYCLE; OXYGEN; PERMEABILITY; ELASTOMERS</t>
  </si>
  <si>
    <t>[1] Permeation of various gases through elastomeric O-ring seals can have important effects on the integrity of atmospheric air samples collected in flasks and measured some time later. Depending on the materials and geometry of flasks and valves and on partial pressure differences between sample and surrounding air, the concentrations of different components of air can be significantly altered during storage. The influence of permeation is discussed for O-2/N-2, Ar/N-2, CO2, delta(13) C in CO2, and water vapor. Results of sample storage tests for various flask and valve types and different storage conditions are presented and are compared with theoretical calculations. Effects of permeation can be reduced by maintaining short storage times and small partial pressure differences and by using a new valve design that buffers exchange of gases with surrounding air or by using less permeable materials ( such as Kel-F) as sealing material. General awareness of possible permeation effects helps to achieve more reliable measurements of atmospheric composition with flask sampling techniques.</t>
  </si>
  <si>
    <t>Univ Bern, Inst Phys, CH-3012 Bern, Switzerland; Univ Groningen, Ctr IsotopenOnderzoek, NL-9747 AG Groningen, Netherlands; CSIRO Atmospher Res, Aspendale, Vic, Australia; Univ Tasmania, Inst Antarctic &amp; So Ocean Studies, Hobart, Tas, Australia; Max Planck Inst Biogeochem, Jena, Germany; Natl Inst Environm Studies, Div Atmospher Environm, Tsukuba, Ibaraki, Japan</t>
  </si>
  <si>
    <t>University of Bern; University of Groningen; Commonwealth Scientific &amp; Industrial Research Organisation (CSIRO); University of Tasmania; Max Planck Society; National Institute for Environmental Studies - Japan</t>
  </si>
  <si>
    <t>Sturm, P (corresponding author), Univ Bern, Inst Phys, Sidlerstr 5, CH-3012 Bern, Switzerland.</t>
  </si>
  <si>
    <t>sturm@climate.unibe.ch; leuenberger@climate.unibe.ch; sirignano@phys.rug.nl; neubert@phys.rug.nl; meijer@phys.rug.nl; ray.langenfelds@csiro.au; wbrand@bgc-jena.mpg.de; tohjima@nies.go.jp</t>
  </si>
  <si>
    <t>Neubert, Rolf/AAO-2248-2021; Langenfelds, Raymond L/B-5381-2012; Meijer, Harro A J/A-5787-2012; Tohjima, Yasunori/F-9975-2016; Neubert, Rolf/U-2766-2017; Brand, Willi A./D-2043-2009; Leuenberger, Markus C/K-9655-2016; SIRIGNANO, Carmina/R-5277-2017; sirignano, carmina/D-3234-2013; SIRIGNANO, Carmina/R-5277-2017</t>
  </si>
  <si>
    <t>Neubert, Rolf/0000-0001-8848-4721; Neubert, Rolf/0000-0001-8848-4721; Leuenberger, Markus C/0000-0003-4299-6793; SIRIGNANO, Carmina/0000-0003-0990-9432; Meijer, Harro A.J./0000-0001-8744-5632; SIRIGNANO, Carmina/0000-0002-4434-1435</t>
  </si>
  <si>
    <t>FEB 25</t>
  </si>
  <si>
    <t>D4</t>
  </si>
  <si>
    <t>D04309</t>
  </si>
  <si>
    <t>10.1029/2003JD004073</t>
  </si>
  <si>
    <t>803FI</t>
  </si>
  <si>
    <t>WOS:000220216600006</t>
  </si>
  <si>
    <t>Lubin, D</t>
  </si>
  <si>
    <t>Thermodynamic phase of maritime Antarctic clouds from FTIR and supplementary radiometric data</t>
  </si>
  <si>
    <t>antarctic peninsula; cloud microphysics; FTIR; thermodynamic phase</t>
  </si>
  <si>
    <t>RADIATIVE-TRANSFER; ULTRAVIOLET-RADIATION; SOLAR-RADIATION; SURFACE ALBEDO; CLIMATE-CHANGE; PALMER-STATION; OPTICAL DEPTH; ARCTIC-OCEAN; WATER CLOUDS; SCATTERING</t>
  </si>
  <si>
    <t>A Fourier Transform Infrared (FTIR) spectroradiometer was deployed at Palmer Station, Antarctica, from 1 September to 17 November 1991. This instrument is similar to the Atmospheric Emitted Radiance Interferometer (AERI) deployed with the U. S. Department of Energy Atmospheric Radiation Measurement (ARM) program. The instrument measured downwelling zenith radiance in the spectral interval 400 2000 cm(-1), at a resolution of 1 cm(-1). The spectral radiance measurements, which can be expressed as spectral brightness temperature T-b(nu), contain information about cloud optical properties in the middle infrared window (800-1200 cm(-1) 1, 8.3-12.5 mm). In this study, this information is exploited to (1) provide additional characterization of Antarctic cloud radiative properties, and (2) demonstrate how multisensor analysis of ARM data can potentially retrieve cloud thermodynamic phase. Radiative transfer simulations demonstrate how T-b(nu) is a function of cloud optical depth tau, effective particle radius r(e), and thermodynamic phase. For typical values of tau and r(e), the effect of increasing the ice fraction of the total optical depth is to flatten the slope of T-b(nu) between 800 1000 cm(-1). For optically thin clouds (tau similar to 3) and larger ice particles (re(ice) &gt; 50 mm) the behavior of T-b(nu) in this interval switches from a decrease with increasing wavenumber n to an increase with nu, once the ice fraction of the total optical depth exceeds similar to0.7. The FTIR spectra alone cannot be interpreted to obtain thermodynamic phase, because a relatively small slope in T-b(nu) between 800-1000 cm(-1) could represent either an optically thin cloud in the ice or mixed phase, or an optically thick cloud radiating as a blackbody. Sky observations and ancillary radiometric data are needed to sort the FTIR spectra into categories of small cloud optical depth, where the mid-IR window data can be interpreted; and larger cloud optical depth, where the FTIR data contain information only about cloud base temperature. Spectral solar ultraviolet (UV) irradiance measurements from the U. S. National Science Foundation's UV Monitor at Palmer Station are used to estimate area-averaged effective cloud optical depth tau(sw), and these estimates are used to sort the FTIR data. FTIR measurements with colocated tau(sw) &lt; 16 are interpreted to estimate cloud thermodynamic phase. Precipitating cloud decks generally show flatter slopes in T-b(nu), consistent with the ice or mixed phase. Altostratus decks show a larger range in T-b(nu) slope than low cloud decks, including increasing slopes with nu, suggesting a more likely occurrence of the ice phase. This study illustrates how cloud thermodynamic phase can be defensibly retrieved from FTIR data if high quality shortwave radiometric data are also available to sort the FTIR measurements by cloud opacity, and both data types are available at the ARM sites.</t>
  </si>
  <si>
    <t>Univ Calif San Diego, Scripps Inst Oceanog, La Jolla, CA 92093 USA</t>
  </si>
  <si>
    <t>University of California System; University of California San Diego; Scripps Institution of Oceanography</t>
  </si>
  <si>
    <t>Lubin, D (corresponding author), Univ Calif San Diego, Scripps Inst Oceanog, La Jolla, CA 92093 USA.</t>
  </si>
  <si>
    <t>dlubin@ucsd.edu</t>
  </si>
  <si>
    <t>FEB 21</t>
  </si>
  <si>
    <t>D04204</t>
  </si>
  <si>
    <t>10.1029/2003JD003979</t>
  </si>
  <si>
    <t>780HG</t>
  </si>
  <si>
    <t>WOS:000189373800005</t>
  </si>
  <si>
    <t>Reusch, DB; Alley, RB</t>
  </si>
  <si>
    <t>A 15-year West Antarctic climatology from six automatic weather station temperature and pressure records</t>
  </si>
  <si>
    <t>climatology; neural networks; polar</t>
  </si>
  <si>
    <t>ARTIFICIAL NEURAL-NETWORKS; VARIABILITY; RAINFALL; PREDICTION; REANALYSES</t>
  </si>
  <si>
    <t>Apart from a small number of mostly coastal stations with human observers, automatic weather stations (AWS) are the dominant source of direct measurements of near-surface climate parameters on the est Antarctic ice sheet. To help alleviate the shortage of surface meteorological data in Antarctica and to better exploit this invaluable data resource, we have used artificial neural network (ANN)-based techniques to extend and fill data gaps in selected AWS records. Climatological analyses of the complete 15-year temperature and pressure records (1979-1993) are reported here for six West Antarctic AWS sites (Siple Station, Byrd, Lettau, Marilyn, Elaine, and Ferrell) spanning similar to90degrees of longitude. Three sites (Siple, Lettau, and Marilyn) show significant warming trends during the austral summer season (December-February). Warm anomalies of 2degrees-5degreesC appeared at all sites during 1980 (winter) and 1989 (winter-spring) with a cold anomaly of up to 3degreesC during fall 1982. Average intersite seasonal correlation comparisons are highest during fall and winter and lowest in summer; Byrd correlates with no other sites in summer. All sites have short, sharp temperature transitions during the fall and spring seasons and a relatively stable winter season with occasional early to midwinter warmings. Typical winter season conditions are present for up to 5-6 months of the year. An exception occurs at Byrd during 1988 and 1989, when climatologically normal winter conditions did not appear to become fully established. Mean monthly temperatures during this unusual period were 5degrees-10degreesC above normal.</t>
  </si>
  <si>
    <t>Penn State Univ, Dept Geosci, University Pk, PA 16802 USA; Penn State Univ, Earth &amp; Mineral Sci Environm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</si>
  <si>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</si>
  <si>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Penn State Univ, Dept Geosci, 517 Deike Bldg, University Pk, PA 16802 USA.</t>
  </si>
  <si>
    <t>dbr@geosc.psu.edu</t>
  </si>
  <si>
    <t>Reusch, David/0000-0002-7582-363X</t>
  </si>
  <si>
    <t>D04103</t>
  </si>
  <si>
    <t>10.1029/2003JD004178</t>
  </si>
  <si>
    <t>WOS:000189373800008</t>
  </si>
  <si>
    <t>Lawrence, JS</t>
  </si>
  <si>
    <t>Adaptive-optics performance of antarctic telescopes</t>
  </si>
  <si>
    <t>LASER-GUIDE-STAR; TIP-TILT COMPENSATION; ZERNIKE POLYNOMIALS; RESOLUTION LIMITS; TURBULENCE; SYSTEM; SCALE</t>
  </si>
  <si>
    <t>The performance of natural guide star adaptive-optics systems for telescopes located on the Antarctic plateau is evaluated and compared with adaptive-optics systems operated with the characteristic mid-latitude atmosphere found at Mauna Kea. A 2-m telescope with tip-tilt correction and an 8-m telescope equipped with a high-order adaptive-optics system are considered. Because of the large isoplanatic angle of the South Pole atmosphere, the anisoplanatic error associated with an adaptive-optics correction is negligible, and the achievable resolution is determined only by the fitting error associated with the number of corrected wave-front modes, which depends on the number of actuators on the deformable mirror. The usable field of view of an adaptive-optics equipped Antarctic telescope is thus orders of magnitude larger than for a similar telescope located at a mid-latitude site; this large field of view obviates the necessity for multiconjugate adaptive-optics systems that use multiple laser guide stars. These results, combined with the low infrared sky backgrounds, indicate that the Antarctic plateau is the best site on Earth at which to perform high-resolution imaging with large telescopes, either over large fields of view or with appreciable sky coverage. Preliminary site-testing results obtained recently from the Dome Concordia station indicate that this site is far superior to even the South Pole. (C) 2004 Optical Society of America.</t>
  </si>
  <si>
    <t>Univ New S Wales, Sch Phys, Sydney, NSW 2052, Australia</t>
  </si>
  <si>
    <t>Lawrence, JS (corresponding author), Univ New S Wales, Sch Phys, Sydney, NSW 2052, Australia.</t>
  </si>
  <si>
    <t>jl@phys.unsw.edu.au</t>
  </si>
  <si>
    <t>Lawrence, Jon/0000-0002-6998-6993</t>
  </si>
  <si>
    <t>FEB 20</t>
  </si>
  <si>
    <t>10.1364/AO.43.001435</t>
  </si>
  <si>
    <t>776ZJ</t>
  </si>
  <si>
    <t>WOS:000189149000032</t>
  </si>
  <si>
    <t>Siegert, MJ</t>
  </si>
  <si>
    <t>Comment on A numerical model for an alternative origin of lake vostok and its exobiological implications for Mars'' by N. S. Duxbury, I. A. Zotikov, K. H. Nealson, V. E. Romanovsky, and F. D. Carsey</t>
  </si>
  <si>
    <t>JOURNAL OF GEOPHYSICAL RESEARCH-PLANETS</t>
  </si>
  <si>
    <t>Antarctica; Lake Vostok; subglacial</t>
  </si>
  <si>
    <t>ANTARCTIC SUBGLACIAL LAKES; EAST ANTARCTICA; ICE; FLOW</t>
  </si>
  <si>
    <t>Univ Bristol, Sch Geog Sci, Bristol Glaciol Ctr, Bristol BS8 1SS, Avon, England</t>
  </si>
  <si>
    <t>University of Bristol</t>
  </si>
  <si>
    <t>Siegert, Martin J/A-3826-2008; Siegert, Martin/M-9939-2019</t>
  </si>
  <si>
    <t>Siegert, Martin J/0000-0002-0090-4806; Siegert, Martin/0000-0002-0090-4806</t>
  </si>
  <si>
    <t>2169-9097</t>
  </si>
  <si>
    <t>2169-9100</t>
  </si>
  <si>
    <t>J GEOPHYS RES-PLANET</t>
  </si>
  <si>
    <t>J. Geophys. Res.-Planets</t>
  </si>
  <si>
    <t>FEB 19</t>
  </si>
  <si>
    <t>E2</t>
  </si>
  <si>
    <t>E02007</t>
  </si>
  <si>
    <t>10.1029/2003JE002176</t>
  </si>
  <si>
    <t>780HM</t>
  </si>
  <si>
    <t>WOS:000189374400004</t>
  </si>
  <si>
    <t>Votier, SC; Furness, RW; Bearhop, S; Crane, JE; Caldow, RWG; Catry, P; Ensor, K; Hamer, KC; Hudson, AV; Kalmbach, E; Klomp, NI; Pfeiffer, S; Phillips, RA; Prieto, I; Thompson, DR</t>
  </si>
  <si>
    <t>Changes in fisheries discard rates and seabird communities</t>
  </si>
  <si>
    <t>NATURE</t>
  </si>
  <si>
    <t>SKUAS CATHARACTA-SKUA; GREAT SKUAS; NORTH-SEA; COMMERCIAL FISHERIES; FOOD AVAILABILITY; SHETLAND; PREDATION; KITTIWAKES; NUMBERS; ECOLOGY</t>
  </si>
  <si>
    <t>It is clear that discards from commercial fisheries are a key food resource for many seabird species around the world(1-8). But predicting the response of seabird communities to changes in discard rates is problematic and requires historical data to elucidate the confounding effects of other, more 'natural' ecological processes. In the North Sea, declining stocks, changes in technical measures, changes in population structure(9) and the establishment of a recovery programme for cod (Gadus morhua(10)) will alter the amount of fish discarded. This region also supports internationally important populations of seabirds(11), some of which feed extensively, but facultatively, on discards, in particular on undersized haddock (Melanogrammus aeglefinus) and whiting (Merlangius merlangus)(1-3). Here we use long-term data sets from the northern North Sea to show that there is a direct link between discard availability and discard use by a generalist predator and scavenger-the great skua (Stercorarius skua). Reduced rates of discarding, particularly when coupled with reduced availability of small shoaling pelagic fish such as sandeel (Ammodytes marinus), result in an increase in predation by great skuas on other birds. This switching of prey by a facultative scavenger presents a potentially serious threat to some seabird communities.</t>
  </si>
  <si>
    <t>Univ Glasgow, Inst Biomed &amp; Life Sci, Glasgow G12 8QQ, Lanark, Scotland; Queens Univ Belfast, Sch Biol &amp; Biochem, Ctr Med Biol, Belfast BT9 7BL, Antrim, North Ireland; Winfrith Newburgh, Winfrith Technol Ctr, Ctr Ecol &amp; Hydrol, Dorchester DT2 8ZD, Dorset, England; ISPA, Unidade Invest Ecoetol, Lisbon, Portugal; Univ Leeds, Fac Biol Sci, Leeds LS2 9JT, W Yorkshire, England; Univ Groningen, Dept Anim Ecol, NL-9751 NN Haren, Netherlands; Charles Sturt Univ, Johnstone Ctr, Sch Environm &amp; Informat Sci, Albury, NSW 2640, Australia; Univ Jena, Inst Ecol, D-07743 Jena, Germany; British Antarctic Survey, Cambridge CB3 0ET, England; Natl Inst Water &amp; Atmospher Res Ltd, Wellington, New Zealand</t>
  </si>
  <si>
    <t>University of Glasgow; Queens University Belfast; UK Centre for Ecology &amp; Hydrology (UKCEH); Instituto Superior Psicologia Aplicada (ISPA); University of Leeds; University of Groningen; Charles Sturt University; Friedrich Schiller University of Jena; UK Research &amp; Innovation (UKRI); Natural Environment Research Council (NERC); NERC British Antarctic Survey; National Institute of Water &amp; Atmospheric Research (NIWA) - New Zealand</t>
  </si>
  <si>
    <t>Votier, SC (corresponding author), Univ Glasgow, Inst Biomed &amp; Life Sci, Glasgow G12 8QQ, Lanark, Scotland.</t>
  </si>
  <si>
    <t>s.votier@bio.gla.ac.uk; r.furness@bio.gla.ac.uk</t>
  </si>
  <si>
    <t>Votier, Stephen/IUO-0154-2023; Bond, Alexander L/A-3786-2010; Catry, Paulo/I-5408-2013; Bearhop, Stuart/G-3105-2012</t>
  </si>
  <si>
    <t>Votier, Stephen/0000-0002-0976-0167; Catry, Paulo/0000-0003-3000-0522; Klomp, Nicholas/0000-0002-2367-0125; Bearhop, Stuart/0000-0002-5864-0129</t>
  </si>
  <si>
    <t>NATURE PUBLISHING GROUP</t>
  </si>
  <si>
    <t>MACMILLAN BUILDING, 4 CRINAN ST, LONDON N1 9XW, ENGLAND</t>
  </si>
  <si>
    <t>0028-0836</t>
  </si>
  <si>
    <t>Nature</t>
  </si>
  <si>
    <t>10.1038/nature02315</t>
  </si>
  <si>
    <t>775DT</t>
  </si>
  <si>
    <t>WOS:000189026000041</t>
  </si>
  <si>
    <t>Foldvik, A; Gammelsrod, T; Osterhus, S; Fahrbach, E; Rohardt, G; Schröder, M; Nicholls, KW; Padman, L; Woodgate, RA</t>
  </si>
  <si>
    <t>Ice shelf water overflow and bottom water formation in the southern Weddell Sea -: art. no. C02015</t>
  </si>
  <si>
    <t>bottom water formation; mixing processes; hydraulic jump; current meters; Ice Shelf Water</t>
  </si>
  <si>
    <t>CIRCULATION; DEEP; HYDROGRAPHY; TRANSPORT; EXPORT; WAVES; TIDES</t>
  </si>
  <si>
    <t>[1] Cold shelf waters flowing out of the Filchner Depression in the southern Weddell Sea make a significant contribution to the production of Weddell Sea Bottom Water (WSBW), a precursor to Antarctic Bottom Water (AABW). We use all available current meter records from the region to calculate the flux of cold water (&lt; - 1.9 degrees C) over the sill at the northern end of the Filchner Depression (1.6 +/- 0.5 Sv), and to determine its fate. The estimated fluxes and mixing rates imply a rate of WSBW formation (referenced to -0.8 degrees C) of 4.3 +/- 1.4 Sv. We identify three pathways for the cold shelf waters to enter the deep Weddell Sea circulation. One path involves flow constrained to follow the shelf break. The other two paths are down the continental slope, resulting from the cold dense water being steered northward by prominent ridges that cross the continental slope near 36 degrees W and 37 degrees W. Mooring data indicate that the deep plumes can retain their core characteristics to depths greater than 2000 m. Probably aided by thermobaricity, the plume water at this depth can flow at a speed approaching 1 m s(-1), implying that the flow is occasionally supercritical. We postulate that such supercriticality acts to limit mixing between the plume and its environment. The transition from supercritical to slower, more uniform flow is associated with very efficient mixing, probably as a result of hydraulic jumps.</t>
  </si>
  <si>
    <t>Univ Bergen, Inst Geophys, N-5008 Bergen, Norway; Alfred Wegener Inst Polar &amp; Marine Res, D-27512 Bremerhaven, Germany; British Antarctic Survey, Cambridge CB3 0ET, England; Earth &amp; Space Res, Seattle, WA 98102 USA; Univ Washington, Appl Phys Lab, Seattle, WA 98105 USA</t>
  </si>
  <si>
    <t>University of Bergen; Helmholtz Association; Alfred Wegener Institute, Helmholtz Centre for Polar &amp; Marine Research; UK Research &amp; Innovation (UKRI); Natural Environment Research Council (NERC); NERC British Antarctic Survey; University of Washington; University of Washington Seattle</t>
  </si>
  <si>
    <t>Univ Bergen, Inst Geophys, N-5008 Bergen, Norway.</t>
  </si>
  <si>
    <t>arne.foldvik@uib.no</t>
  </si>
  <si>
    <t>Padman, Laurence/AAH-3808-2021</t>
  </si>
  <si>
    <t>Padman, Laurence/0000-0003-2010-642X</t>
  </si>
  <si>
    <t>FEB 17</t>
  </si>
  <si>
    <t>C2</t>
  </si>
  <si>
    <t>C02015</t>
  </si>
  <si>
    <t>10.1029/2003JC002008</t>
  </si>
  <si>
    <t>780HH</t>
  </si>
  <si>
    <t>WOS:000189373900001</t>
  </si>
  <si>
    <t>Heneghan, AF; Moore, HJ; Lee, TR; Haymet, ADJ</t>
  </si>
  <si>
    <t>Statistics of heterogeneous nucleation of supercooled aqueous solutions in a self-assembled monolayer-coated container</t>
  </si>
  <si>
    <t>CHEMICAL PHYSICS LETTERS</t>
  </si>
  <si>
    <t>LAG-TIME APPARATUS; ANTARCTIC FISHES; CRYSTAL; CRYSTALLIZATION; WATER; GOLD</t>
  </si>
  <si>
    <t>Repeated heterogeneous nucleation of a single, unchanging aqueous sample of water in a container coated by a self-assembled monolayer (SAM) is studied using our automated lag-time apparatus showing that coating the walls of the sample container with the SAM decreases the average supercooled temperature (DeltaT(50%)) to colder temperatures, indicating that nucleation in an unmodified glass container takes place on the container walls in the absence of a substrate or impurities. Adding an AgI crystal increases DeltaT(50%) to the same warm temperature, whether the container is SAM-coated or not, suggesting that nucleation takes place on the surface of the added crystal. (C) 2004 Elsevier B.V. All rights reserved.</t>
  </si>
  <si>
    <t>Univ Houston, Dept Chem, Houston, TX 77204 USA; CSIRO, Marine Res, Hobart, Tas 7000, Australia</t>
  </si>
  <si>
    <t>University of Houston System; University of Houston; Commonwealth Scientific &amp; Industrial Research Organisation (CSIRO)</t>
  </si>
  <si>
    <t>Univ Houston, Dept Chem, 4800 Dr Calhoun Rd, Houston, TX 77204 USA.</t>
  </si>
  <si>
    <t>aaron.heneghan@uchse.edu; tony.haymet@csiro.au</t>
  </si>
  <si>
    <t>Lee, T. Randall/G-6666-2019; Haymet, Anthony/A-9881-2009</t>
  </si>
  <si>
    <t>Lee, T. Randall/0000-0001-9584-8861; Haymet, Anthony/0000-0002-5617-2106</t>
  </si>
  <si>
    <t>0009-2614</t>
  </si>
  <si>
    <t>1873-4448</t>
  </si>
  <si>
    <t>CHEM PHYS LETT</t>
  </si>
  <si>
    <t>Chem. Phys. Lett.</t>
  </si>
  <si>
    <t>FEB 16</t>
  </si>
  <si>
    <t>10.1016/j.cplett.2004.01.025</t>
  </si>
  <si>
    <t>Chemistry, Physical; Physics, Atomic, Molecular &amp; Chemical</t>
  </si>
  <si>
    <t>Chemistry; Physics</t>
  </si>
  <si>
    <t>775YG</t>
  </si>
  <si>
    <t>WOS:000189087800019</t>
  </si>
  <si>
    <t>Ikeda-Fukazawa, T; Kawamura, K; Hondoh, T</t>
  </si>
  <si>
    <t>Diffusion of nitrogen gas in ice Ih</t>
  </si>
  <si>
    <t>HYDRATE SINGLE-CRYSTAL; CLATHRATE HYDRATE; ANTARCTIC ICE; MOLECULES; AIR; H2O</t>
  </si>
  <si>
    <t>Diffusion of N-2 in ice crystal has been found from Raman scattering of the natural ice from the Antarctic ice sheet. In order to investigate the diffusion mechanism, we perform molecular dynamics simulations of diffusion of N-2 in ice. The results show that the N-2 molecule hops in the crystal by breaking hydrogen bonds in the ice lattice. The diffusion velocity with the mechanism is few orders larger than the estimate under the assumption of the interstitial mechanism. We conclude that the localized vibrational motion of N-2 is the dominant factor governing the diffusion mechanism. (C) 2004 Elsevier B.V. All rights reserved.</t>
  </si>
  <si>
    <t>Japan Sci &amp; Technol Agcy, PRESTO, Inst Stat Math, Minato Ku, Tokyo 1068569, Japan; Hokkaido Univ, Inst Low Temp Sci, Sapporo, Hokkaido 0600819, Japan; Tokyo Inst Technol, Dept Earth &amp; Planetary Sci, Tokyo 1528551, Japan</t>
  </si>
  <si>
    <t>Japan Science &amp; Technology Agency (JST); Research Organization of Information &amp; Systems (ROIS); Institute of Statistical Mathematics (ISM) - Japan; Hokkaido University; Tokyo Institute of Technology</t>
  </si>
  <si>
    <t>Japan Sci &amp; Technol Agcy, PRESTO, Inst Stat Math, Minato Ku, Minami Azabu 4-6-7, Tokyo 1068569, Japan.</t>
  </si>
  <si>
    <t>fukazawa@ism.ac.jp</t>
  </si>
  <si>
    <t>; HONDOH, Takeo/E-7551-2011</t>
  </si>
  <si>
    <t>Ikeda-Fukazawa, Tomoko/0000-0002-5265-4706; HONDOH, Takeo/0000-0003-4129-022X</t>
  </si>
  <si>
    <t>10.1016/j.cplett.2004.01.021</t>
  </si>
  <si>
    <t>WOS:000189087800024</t>
  </si>
  <si>
    <t>Haywood, AM; Valdes, PJ</t>
  </si>
  <si>
    <t>Modelling Pliocene warmth: contribution of atmosphere, oceans and cryosphere</t>
  </si>
  <si>
    <t>Pliocene; general circulation model; ocean; atmosphere; forcing</t>
  </si>
  <si>
    <t>NORTH-ATLANTIC OCEAN; SEA-SURFACE TEMPERATURES; MIDDLE PLIOCENE; JOINT INVESTIGATIONS; HEAT TRANSPORTS; CLIMATE; CIRCULATION; PALEOCLIMATE; IMPACT; GCM</t>
  </si>
  <si>
    <t>The relative role of the atmosphere, oceans and cryosphere in contributing towards middle Pliocene warmth (ca 3 Ma BP) is investigated using the HadCM3 coupled ocean-atmosphere general circulation model. The model was initialised with boundary conditions from the USGS PRISM2 data set and a Pliocene atmospheric CO2 level of 400 ppmv and run for 300 simulated years. The simulation resulted in a global surface temperature warming of 3degreesC compared to present-day. In contrast to earlier modelling experiments for the Pliocene, surface temperatures warmed in most areas including the tropics (1-5degreesC). Compared with present-day, the model predicts a general pattern of ocean warming (1-5degreesC) in both hemispheres to a depth of 2000 m, below which no significant differences are noted. Sea ice coverage is massively reduced (up to 90%). The flow of the Gulf Stream/North Atlantic Drift is up to 100 mm s(-1) greater in the Pliocene case. Analysis of the model-predicted meridional streamfunction suggests a global pattern of reduced outflow of Antarctic bottom water (AABW; up to 5 Sv), a shallower depth for North Atlantic deep water formation and weaker thermohaline circulation (3 Sv). The decrease in AABW occurs mainly in the Pacific rather than Atlantic Ocean. Model diagnostics for heat transports indicate that neither the oceans nor the atmosphere are transporting significantly more heat in the Pliocene scenario. Rather, these results indicate that the major contributing mechanism to global Pliocene warmth was the reduced extent of high-latitude terrestrial ice sheets (50% reduction on Greenland, 33% reduction on Antarctica) and sea ice cover resulting in a strong ice-albedo feedback. These results highlight the need for further studies designed to improve our knowledge regarding Pliocene terrestrial ice configurations. (C) 2003 Elsevier B.V. All rights reserved.</t>
  </si>
  <si>
    <t>Univ Reading, Dept Meteorol, Reading RG6 6BB, Berks, England</t>
  </si>
  <si>
    <t>University of Reading</t>
  </si>
  <si>
    <t>British Antarctic Survey, Geol Sci Div, High Cross,Madingley Rd, Cambridge CB3 0ET, England.</t>
  </si>
  <si>
    <t>ahay@bas.ac.uk</t>
  </si>
  <si>
    <t>Valdes, Paul/T-2004-2019; Valdes, Paul J/C-4129-2013</t>
  </si>
  <si>
    <t>Valdes, Paul/0000-0002-1902-3283;</t>
  </si>
  <si>
    <t>FEB 15</t>
  </si>
  <si>
    <t>10.1016/S0012-821X(03)00685-X</t>
  </si>
  <si>
    <t>773FT</t>
  </si>
  <si>
    <t>WOS:000188887600010</t>
  </si>
  <si>
    <t>Blunier, T; Schwander, J; Chappellaz, J; Parrenin, F; Barnola, JM</t>
  </si>
  <si>
    <t>What was the surface temperature in central Antarctica during the last glacial maximum?</t>
  </si>
  <si>
    <t>ice core; Antarctic temperature; gas occlusion; last glacial maximum</t>
  </si>
  <si>
    <t>VOSTOK ICE CORE; CLIMATE-CHANGE; AIR CONTENT; PRECIPITATION; ISOTOPE; GREENLAND; FIRN; PALEOTHERMOMETER; PROFILES; STATION</t>
  </si>
  <si>
    <t>The temperature increase at Vostok (Antarctica) from the last glacial maximum to the present warm period is about 8degreesC based on the deuterium isotope profile. The bore hole temperature (temperature profile in the ice sheet) indicates that the temperature difference may have been much larger, about 15degreesC. The temperature dependent gas occlusion process is the key to evaluate the two scenarios. Atmospheric air penetrates the porous firn layer of the ice sheet and gets trapped at the firn ice boundary. Consequently the air is younger than the surrounding ice when it gets enclosed in bubbles. This age difference (Deltaage) between ice and enclosed gas is temperature and accumulation rate dependent. Therefore it is possible to estimate paleotemperatures from a known Deltaage. We use the linkage between chronologies of CH4 and water isotopes from Byrd station and Vostok to obtain an experimental Deltaage for Vostok. This experimental Deltaage is then compared to modeled Deltaage for the two temperature scenarios. Our results indicate that the temperature reconstruction deduced from the water isotopic composition is the more probable one. (C) 2003 Elsevier B.V. All rights reserved.</t>
  </si>
  <si>
    <t>Univ Bern, Inst Phys, CH-3012 Bern, Switzerland; CNRS, Lab Glaciol &amp; Geophys Environm, F-38402 St Martin Dheres, France</t>
  </si>
  <si>
    <t>University of Bern; Centre National de la Recherche Scientifique (CNRS)</t>
  </si>
  <si>
    <t>Univ Bern, Inst Phys, Sidlerstr 5, CH-3012 Bern, Switzerland.</t>
  </si>
  <si>
    <t>blunier@climate.unibe.ch</t>
  </si>
  <si>
    <t>Chappellaz, Jérôme A./A-4872-2011; Parrenin, Frédéric/H-3054-2014; Blunier, Thomas/M-4609-2014</t>
  </si>
  <si>
    <t>Parrenin, Frédéric/0000-0002-9489-3991; Blunier, Thomas/0000-0002-6065-7747</t>
  </si>
  <si>
    <t>10.1016/S0012-821X(03)00672-1</t>
  </si>
  <si>
    <t>WOS:000188887600011</t>
  </si>
  <si>
    <t>Schwikowski, M; Barbante, C; Doering, T; Gaeggeler, HW; Boutron, C; Schotterer, U; Tobler, L; Van De Velde, KV; Ferrari, C; Cozzi, G; Rosman, K; Cescon, P</t>
  </si>
  <si>
    <t>Post-17th-century changes of European lead emissions recorded in high-altitude alpine snow and ice</t>
  </si>
  <si>
    <t>ANTARCTIC SNOW; HEAVY-METALS; ATMOSPHERIC LEAD; ISOTOPIC COMPOSITION; ANTHROPOGENIC LEAD; HISTORICAL RECORD; CENTRAL GREENLAND; COLLE GNIFETTI; FRENCH ALPS; DEPOSITION</t>
  </si>
  <si>
    <t>Lead concentrations and lead isotope ratios were analyzed in two firn/ice cores covering the period from 1650 to 1994, which were obtained from the 4450 m high glacier saddle Colle Gnifetti located in the Monte Rosa massif at the Swiss-Italian border. This study presents the first glaciochemical time series with annual resolution, spanning several centuries of lead concentrations and lead isotopic compositions in precipitation in Europe. Lead concentrations in firn dated from the 1970s are similar to25 times higher than in ice dated from the 17th century, confirming the massive rise in lead pollution in Europe during the last few centuries. A decline of the lead concentration is then observed during the last two decades, i.e., from 1975 to 1994. The lead isotope ratio Pb-206/Pb-207 decreased from about 1.18 in the 17th and 18th centuries to about 1.12 in the 1970s. These variations are in good agreement with available information on variations in anthropogenic lead emissions from West European countries, especially from the use of lead additives in gasoline.</t>
  </si>
  <si>
    <t>Paul Scherrer Inst, CH-5232 Villigen, Switzerland; Univ Venice, Dept Environm Sci, I-30123 Venice, Italy; Univ Venice, CNR, Inst Dynam Environm Proc, I-30123 Venice, Italy; Univ Bern, Dept Chem &amp; Biochem, CH-3012 Bern, Switzerland; CNRS, Lab Glaciol &amp; Geophys Environm, F-38402 St Martin Dheres, France; Univ Grenoble 1, Inst Univ France, Observ Sci Univers, F-38041 Grenoble, France; Univ Grenoble 1, Inst Univ France, Unite Format &amp; Rech Phys, F-38041 Grenoble, France; Univ Bern, Inst Phys, CH-3012 Bern, Switzerland; Univ Grenoble 1, Inst Sci &amp; Tech Grenoble, F-38041 Grenoble, France; Curtin Univ Technol, Dept Appl Phys, Perth, WA 6845, Australia</t>
  </si>
  <si>
    <t>Swiss Federal Institutes of Technology Domain; Paul Scherrer Institute; Universita Ca Foscari Venezia; Consiglio Nazionale delle Ricerche (CNR); Istituto per la Dinamica dei Processi Ambientali (IDPA-CNR); Universita Ca Foscari Venezia; University of Bern; Centre National de la Recherche Scientifique (CNRS); Communaute Universite Grenoble Alpes; Universite Grenoble Alpes (UGA); Institut Universitaire de France; Institut Universitaire de France; Communaute Universite Grenoble Alpes; Universite Grenoble Alpes (UGA); University of Bern; Communaute Universite Grenoble Alpes; Universite Grenoble Alpes (UGA); Curtin University</t>
  </si>
  <si>
    <t>Paul Scherrer Inst, CH-5232 Villigen, Switzerland.</t>
  </si>
  <si>
    <t>margit.schwikowski@psi.ch</t>
  </si>
  <si>
    <t>Cozzi, Giulio/R-4554-2019; Barbante, Carlo/B-3195-2011; Cozzi, Giulio/F-6473-2010</t>
  </si>
  <si>
    <t>Cozzi, Giulio/0000-0001-8796-4176; Cescon, Paolo/0000-0003-1836-6759; Barbante, Carlo/0000-0003-4177-2288; Schwikowski, Margit/0000-0002-0856-5183</t>
  </si>
  <si>
    <t>10.1021/es034715o</t>
  </si>
  <si>
    <t>774RC</t>
  </si>
  <si>
    <t>WOS:000188996600006</t>
  </si>
  <si>
    <t>Tranter, M; Fountain, AG; Fritsen, CH; Lyons, WB; Priscu, JC; Statham, PJ; Welch, KA</t>
  </si>
  <si>
    <t>Extreme hydrochemical conditions in natural microcosms entombed within Antarctic ice</t>
  </si>
  <si>
    <t>HYDROLOGICAL PROCESSES</t>
  </si>
  <si>
    <t>cryconite; Antarctica; glacier ice; microcosms</t>
  </si>
  <si>
    <t>SOUTHERN VICTORIA LAND; TAYLOR VALLEY; LIFE; LIMITATION; GLACIERS; DESERT; LAKES</t>
  </si>
  <si>
    <t>Cryoconite holes are near-vertical tubes that form in the surface of glaciers when solar-heated debris melts into the ice. Those that form in the McMurdo Dry Valleys of Antarctica are distinctive, in that they have ice lids and are closed to the atmosphere for periods of years to decades. Photoautotrophs. and heterotrophs grow within this closed environment, perturbing the poorly buffered water chemistry, yet maintaining the potential for photosynthesis. Microbial excretion and decomposition of organic matter produces dissolved organic carbon (DOC): dissolved inorganic carbon ratios of similar to1:2. Much of the dissolved nitrogen pool (80-100%) exists as dissolved organic nitrogen (DON). The DON: DOC ratio is similar to1:11 (mol/mol), typical of organic particulate material at the Earth's surface. The combination of photoautotrophy, heterotrophy and weak chemical buffering within these microcosms promotes values of pH,pCO(2), O-2 saturation and percentage total dissolved nitrogen as DON that reach 10-99, 10(-7.6) atm, 160% and 100% respectively, which are a unique combination among the surface waters on Earth. These ice-sealed cryoconite holes could be important analogues of refugia on Snowball Earth and other icy planets. Copyright (C) 2004 John Wiley Sons, Ltd.</t>
  </si>
  <si>
    <t>Univ Bristol, Sch Geog Sci, Bristol Glaciol Ctr, Dept Geog, Bristol BS8 1SS, Avon, England; Univ Bristol, Sch Geog Sci, Bristol Glaciol Ctr, Dept Geol, Bristol BS8 1SS, Avon, England; Portland State Univ, Portland, OR 97207 USA; Desert Res Inst, Div Earth &amp; Ecosyst Sci, Reno, NV USA; Ohio State Univ, Byrd Polar Res Ctr, Columbus, OH 43210 USA; Montana State Univ, Dept Landk Resources &amp; Environm Sci, Bozeman, MT USA; Univ Southampton, Sch Ocean &amp; Earth Sci, Southampton SO9 5NH, Hants, England</t>
  </si>
  <si>
    <t>University of Bristol; University of Bristol; Portland State University; Nevada System of Higher Education (NSHE); Desert Research Institute NSHE; University System of Ohio; Ohio State University; Montana State University System; Montana State University Bozeman; NERC National Oceanography Centre; University of Southampton</t>
  </si>
  <si>
    <t>Tranter, M (corresponding author), Univ Bristol, Sch Geog Sci, Bristol Glaciol Ctr, Dept Geog, Bristol BS8 1SS, Avon, England.</t>
  </si>
  <si>
    <t>m.tranter@bristol.ac.uk</t>
  </si>
  <si>
    <t>; Tranter, Martyn/E-3722-2010</t>
  </si>
  <si>
    <t>Welch, Kathleen/0000-0003-1028-3086; Tranter, Martyn/0000-0003-2071-3094</t>
  </si>
  <si>
    <t>JOHN WILEY &amp; SONS LTD</t>
  </si>
  <si>
    <t>CHICHESTER</t>
  </si>
  <si>
    <t>THE ATRIUM, SOUTHERN GATE, CHICHESTER PO19 8SQ, W SUSSEX, ENGLAND</t>
  </si>
  <si>
    <t>0885-6087</t>
  </si>
  <si>
    <t>HYDROL PROCESS</t>
  </si>
  <si>
    <t>Hydrol. Process.</t>
  </si>
  <si>
    <t>10.1002/hyp.5217</t>
  </si>
  <si>
    <t>Water Resources</t>
  </si>
  <si>
    <t>773TT</t>
  </si>
  <si>
    <t>WOS:000188939400013</t>
  </si>
  <si>
    <t>Monecke, T; Renno, AD; Herzig, PM</t>
  </si>
  <si>
    <t>Primary clinopyroxene spherulites in basaltic lavas from the Pacific-Antarctic Ridge</t>
  </si>
  <si>
    <t>JOURNAL OF VOLCANOLOGY AND GEOTHERMAL RESEARCH</t>
  </si>
  <si>
    <t>spherulites; volcanic glass; clinopyroxene; cooling history</t>
  </si>
  <si>
    <t>GLASS-TRANSITION; CRYSTALLIZATION; VARIOLES; TEXTURES; HOTSPOT; CHAIN; ROCKS; FLOW; MELT</t>
  </si>
  <si>
    <t>Fresh glassy basaltic andesite samples recovered from the northern part of the Pacific-Antarctic Ridge contain abundant spherulites consisting of arrays of closely packed clinopyroxene fibers. The spherulites frequently enclose elongated vesicles that are tear drop-shaped or tailed. The long axes of the elongated vesicles were found to be always parallel to the orientation of the surrounding crystal fibers. In several cases, elongated vesicles having different orientations are hosted by a single spherulite. The existence of elongated vesicles provides unequivocal evidence that a significant proportion of the clinopyroxene fibers must have crystallized directly from a supercooled liquid at temperatures above the glass transition. Moreover, the absence of fractures within the spherulites and the surrounding glass as well as the observed nucleation of clinopyroxene fibers at vesicle walls are interpreted to be consistent with a primary origin of the clinopyroxene spherulites. Based on these textural observations it has to be concluded that spherulites do not represent a diagnostic texture for the devitrification of volcanic glass that occurs below the glass transition temperature. (C) 2003 Elsevier B.V. All rights reserved.</t>
  </si>
  <si>
    <t>Freiberg Univ Min &amp; Technol, Inst Mineral, Dept Econ Geol, D-09596 Freiberg, Germany; Freiberg Univ Min &amp; Technol, Inst Mineral, Leibniz Lab Appl Marine Res, D-09596 Freiberg, Germany</t>
  </si>
  <si>
    <t>Technical University Freiberg; Technical University Freiberg</t>
  </si>
  <si>
    <t>Freiberg Univ Min &amp; Technol, Inst Mineral, Dept Econ Geol, Brennhausgasse 14, D-09596 Freiberg, Germany.</t>
  </si>
  <si>
    <t>tmoneeke@mineral.tu-freiberg.de</t>
  </si>
  <si>
    <t>Monecke, Thomas/E-9131-2014; Renno, Axel D./L-1110-2016</t>
  </si>
  <si>
    <t>Renno, Axel D./0000-0002-8289-1059</t>
  </si>
  <si>
    <t>0377-0273</t>
  </si>
  <si>
    <t>1872-6097</t>
  </si>
  <si>
    <t>J VOLCANOL GEOTH RES</t>
  </si>
  <si>
    <t>J. Volcanol. Geotherm. Res.</t>
  </si>
  <si>
    <t>10.1016/S0377-0273(03)00278-6</t>
  </si>
  <si>
    <t>765NC</t>
  </si>
  <si>
    <t>WOS:000188288900003</t>
  </si>
  <si>
    <t>Stössel, A; Markus, T</t>
  </si>
  <si>
    <t>Using satellite-derived ice concentration to represent Antarctic coastal polynyas in ocean climate models -: art. no. C02014</t>
  </si>
  <si>
    <t>coastal polynyas; ocean climate models</t>
  </si>
  <si>
    <t>TERRA-NOVA BAY; SEA-ICE; WEDDELL SEA; SOUTHERN-OCEAN; BOTTOM WATER; INTERANNUAL VARIABILITY; MEAN CIRCULATION; BOUNDARY-LAYER; CONVECTION; SENSITIVITY</t>
  </si>
  <si>
    <t>[1] The focus of this paper is on the representation of Antarctic coastal polynyas in global ice-ocean general circulation models (OGCMs), in particular their local, regional, and high-frequency behavior. This is verified with the aid of daily ice concentration derived from satellite passive microwave data using the NASA Team 2'' (NT2) and the bootstrap (BS) algorithms. Large systematic regional and temporal discrepancies arise, some of which are related to the type of convection parameterization used in the model. An attempt is made to improve the fresh-water flux associated with melting and freezing in Antarctic coastal polynyas by ingesting ( assimilating) satellite ice concentration where it comes to determining the thermodynamics of the open-water fraction of a model grid cell. Since the NT2 coastal open-water fraction ( polynyas) tends to be less extensive than the simulated one in the decisive season and region, assimilating NT2 coastal ice concentration yields overall reduced net freezing rates, smaller formation rates of Antarctic Bottom Water, and a stronger southward flow of North Atlantic Deep Water across 30 degreesS. Enhanced net freezing rates occur regionally when NT2 coastal ice concentration is assimilated, concomitant with a more realistic ice thickness distribution and accumulation of High-Salinity Shelf Water. Assimilating BS rather than NT2 coastal ice concentration, the differences to the non-assimilated simulation are generally smaller and of opposite sign. This suggests that the model reproduces coastal ice concentration in closer agreement with the BS data than with the NT2 data, while more realistic features emerge when NT2 data are assimilated.</t>
  </si>
  <si>
    <t>Texas A&amp;M Univ, Dept Oceanog, College Stn, TX 77843 USA; NASA, Goddard Space Flight Ctr, Greenbelt, MD 20771 USA</t>
  </si>
  <si>
    <t>Texas A&amp;M University System; Texas A&amp;M University College Station; National Aeronautics &amp; Space Administration (NASA); NASA Goddard Space Flight Center</t>
  </si>
  <si>
    <t>astoessel@ocean.tamu.edu; thorsten.markus@nasa.gov</t>
  </si>
  <si>
    <t>Markus, Thorsten/D-5365-2012</t>
  </si>
  <si>
    <t>FEB 14</t>
  </si>
  <si>
    <t>C02014</t>
  </si>
  <si>
    <t>10.1029/2003JC001779</t>
  </si>
  <si>
    <t>775QT</t>
  </si>
  <si>
    <t>WOS:000189053800002</t>
  </si>
  <si>
    <t>Jakobsson, M</t>
  </si>
  <si>
    <t>Hypsometry and volume of the Arctic Ocean and its constituent seas (vol 3, art no 1028, 2002)</t>
  </si>
  <si>
    <t>GEOCHEMISTRY GEOPHYSICS GEOSYSTEMS</t>
  </si>
  <si>
    <t>Arctic Ocean; hypsometry; bathymetry; IBCAO; Arctic Ocean volume; oceanography : general : Arctic and Antarctic oceanography; oceanography : general : water masses; information related to geographic region : Arctic region; 9900 corrections</t>
  </si>
  <si>
    <t>Jakobsson, Martin/F-6214-2010; Jakobsson, Martin/JAN-6828-2023</t>
  </si>
  <si>
    <t>1525-2027</t>
  </si>
  <si>
    <t>GEOCHEM GEOPHY GEOSY</t>
  </si>
  <si>
    <t>Geochem. Geophys. Geosyst.</t>
  </si>
  <si>
    <t>FEB 13</t>
  </si>
  <si>
    <t>Q02005</t>
  </si>
  <si>
    <t>10.1029/2004GC000694</t>
  </si>
  <si>
    <t>775PJ</t>
  </si>
  <si>
    <t>WOS:000189049900003</t>
  </si>
  <si>
    <t>Yvon-Lewis, SA; King, DB; Tokarczyk, R; Goodwin, KD; Saltzman, ES; Butler, JH</t>
  </si>
  <si>
    <t>Methyl bromide and methyl chloride in the Southern Ocean</t>
  </si>
  <si>
    <t>methyl bromide; methyl chloride; air-sea flux</t>
  </si>
  <si>
    <t>PACIFIC-OCEAN; GAS-EXCHANGE; ATMOSPHERE EXCHANGE; ATLANTIC-OCEAN; NW ATLANTIC; ANTARCTICA; SEAWATER; TASMANIA; CH3BR; SINK</t>
  </si>
  <si>
    <t>Air and water concentrations of methyl bromide (CH3Br) and methyl chloride (CH3Cl) were measured in the Southern Ocean (latitudes 45degrees-67degrees S, longitudes 144degrees-139degrees E) from late October through mid-December 2001. CH3Br and CH3Cl were undersaturated with mean saturation anomalies of -39 +/- 11% and -37 +/- 11% between 45degrees and 65degrees S. The minimum degradation rate constants needed to maintain these saturation anomalies are consistent with the observed total degradation rate constants, suggesting that there is no significant production of these gases in this region. Near the Antarctic coast (south of 65degreesS) the saturation anomalies for both gases decreased to approximately -80%, although CFC-11 measurements suggest these extreme anomalies are associated with enhanced vertical mixing rather than with degradation in the surface waters.</t>
  </si>
  <si>
    <t>NOAA, Atlantic Oceanog &amp; Meteorol Lab, Miami, FL 33149 USA; Univ Colorado, Cooperat Inst Res Environm Sci, Boulder, CO 80309 USA; NOAA, Climate Monitoring &amp; Diagnost Lab, Boulder, CO 80305 USA; Univ Calif Irvine, Irvine, CA 92697 USA</t>
  </si>
  <si>
    <t>National Oceanic Atmospheric Admin (NOAA) - USA; Atlantic Oceanographic &amp; Meteorological Laboratory (AOML); University of Colorado System; University of Colorado Boulder; National Oceanic Atmospheric Admin (NOAA) - USA; University of California System; University of California Irvine</t>
  </si>
  <si>
    <t>Yvon-Lewis, SA (corresponding author), NOAA, Atlantic Oceanog &amp; Meteorol Lab, 4301 Rickenbacker Cswy, Miami, FL 33149 USA.</t>
  </si>
  <si>
    <t>shari.yvon-lewis@noaa.gov</t>
  </si>
  <si>
    <t>gidley, maribeth L/B-8335-2014; Yvon-Lewis, Shari A/E-4108-2012; Goodwin, Kelly D./B-4985-2014</t>
  </si>
  <si>
    <t>Yvon-Lewis, Shari A/0000-0003-1378-8434; Goodwin, Kelly D./0000-0001-9583-8073</t>
  </si>
  <si>
    <t>C02008</t>
  </si>
  <si>
    <t>10.1029/2003JC001809</t>
  </si>
  <si>
    <t>775QR</t>
  </si>
  <si>
    <t>WOS:000189053700002</t>
  </si>
  <si>
    <t>Smith, AJ; Horne, RB; Meredith, NP</t>
  </si>
  <si>
    <t>Ground observations of chorus following geomagnetic storms</t>
  </si>
  <si>
    <t>chorus; geomagnetic storms; electron acceleration; relativistic electrons; whistler mode waves; wave-particle interactions</t>
  </si>
  <si>
    <t>OUTER RADIATION BELT; WHISTLER-MODE CHORUS; RELATIVISTIC ELECTRON ACCELERATION; ION-CYCLOTRON WAVES; MAGNETIC STORMS; SEMIANNUAL VARIATION; INNER MAGNETOSPHERE; RESONANT DIFFUSION; EMIC WAVES; OCTOBER 9</t>
  </si>
  <si>
    <t>[1] It has been suggested that whistler mode chorus waves play a role in acceleration and loss of radiation belt electrons during geomagnetic storms. In this paper we present data from a complete solar cycle ( 1992 - 2002) of nearly continuous (&gt; 95%) VLF/ELF observations from the VLF/ELF Logger Experiment (VELOX) instrument at Halley station, Antarctica (76 degreesS, 27 degreesW, L = 4.3), to determine whether there is statistical evidence for enhanced whistler mode chorus waves during geomagnetic storms. The data comprise 1 s resolution measurements of ELF/VLF wave power in eight frequency bands from 500 Hz to 10 kHz. The variations in chorus activity during several storms, including the well-studied Bastille Day event ( 14 July 2000), show enhanced wave power but are variable from event to event. The average behavior has been found from a superposed epoch analysis using 372 storms with minimum Dst less than - 50 nT, including 82 large storms with minimum Dst less than - 100 nT. Compared with average prestorm levels, the chorus intensity decreases in the storm main phase but is enhanced in the recovery phase, typically maximizing a day after the storm onset. At 1 kHz the enhancement is independent of storm severity, suggesting a saturation effect, whereas larger storms produce larger wave intensities at higher frequencies in the chorus band ( e. g., 3 kHz), which is interpreted as the effect of a chorus source region located on lower L shells than for weaker storms. The storm chorus enhancement maximizes at postdawn local times, leading to a 24 hour recurrence effect. A long-enduring depression in wave intensities, of 10 days or more, is found near the top of the normal chorus band ( similar to 5 kHz). We suggest that this is due to precipitation from enhanced relativistic particle fluxes affecting the subionospheric propagation of spherics from nearby thunderstorm regions across the L = 2 - 4 zone.</t>
  </si>
  <si>
    <t>British Antarctic Survey, NERC, Cambridge CB3 0ET, England; UCL, Mullard Space Sci Lab, Dorking RH5 6NT, Surrey, England</t>
  </si>
  <si>
    <t>UK Research &amp; Innovation (UKRI); Natural Environment Research Council (NERC); NERC British Antarctic Survey; University of London; University College London</t>
  </si>
  <si>
    <t>British Antarctic Survey, NERC, Madingley Rd, Cambridge CB3 0ET, England.</t>
  </si>
  <si>
    <t>a.j.smith@bas.ac.uk; r.horne@bas.ac.uk; npm@mssl.ucl.ac.uk</t>
  </si>
  <si>
    <t>Horne, Richard B/U-3764-2019; Meredith, Nigel P/C-5806-2018</t>
  </si>
  <si>
    <t>Horne, Richard B/0000-0002-0412-6407; Meredith, Nigel/0000-0001-5032-3463</t>
  </si>
  <si>
    <t>FEB 10</t>
  </si>
  <si>
    <t>A2</t>
  </si>
  <si>
    <t>A02205</t>
  </si>
  <si>
    <t>10.1029/2003JA010204</t>
  </si>
  <si>
    <t>775QY</t>
  </si>
  <si>
    <t>WOS:000189054400003</t>
  </si>
  <si>
    <t>Kulcitki, V; Ungur, N; Gavagnin, M; Carbone, M; Cimino, G</t>
  </si>
  <si>
    <t>Synthesis and absolute stereochemistry of marine nor-sesquiterpene austrodoric acid</t>
  </si>
  <si>
    <t>TETRAHEDRON-ASYMMETRY</t>
  </si>
  <si>
    <t>SCLAREOL</t>
  </si>
  <si>
    <t>An enantiospecific synthesis of the nor-sesquiterpene austrodoric acid 1, recently isolated from an Antarctic marine mollusk, has been achieved. The synthetic strategy was based on the ring contraction of a suitable homo-drimanic epoxide,3, easily obtained from commercial (+)-sclareolide 4. The absolute configuration of natural austrodoric acid, not determined previously, has been now established by analyzing the CD profile of synthetic 1, which was the same as the natural compound. (C) 2003 Elsevier Ltd. All rights reserved.</t>
  </si>
  <si>
    <t>CNR, Ist Chim Biomol, I-80078 Pozzuoli, NA, Italy</t>
  </si>
  <si>
    <t>Consiglio Nazionale delle Ricerche (CNR); Istituto di Chimica Biomolecolare (ICB-CNR)</t>
  </si>
  <si>
    <t>CNR, Ist Chim Biomol, Via Campi Flegrei 34, I-80078 Pozzuoli, NA, Italy.</t>
  </si>
  <si>
    <t>mgavagnin@icmib.na.cnr.it</t>
  </si>
  <si>
    <t>Gavagnin, Margherita/B-4584-2012; Kulcitki, Veaceslav/A-7991-2010</t>
  </si>
  <si>
    <t>Nicon, UNGUR/0000-0002-7457-4520; CARBONE, MARIANNA/0000-0003-3729-5714; Kulcitki, Veaceslav/0000-0002-9363-1615</t>
  </si>
  <si>
    <t>0957-4166</t>
  </si>
  <si>
    <t>TETRAHEDRON-ASYMMETR</t>
  </si>
  <si>
    <t>Tetrahedron-Asymmetry</t>
  </si>
  <si>
    <t>FEB 9</t>
  </si>
  <si>
    <t>10.1016/j.tetasy.2003.10.024</t>
  </si>
  <si>
    <t>Chemistry, Inorganic &amp; Nuclear; Chemistry, Organic; Chemistry, Physical</t>
  </si>
  <si>
    <t>Science Citation Index Expanded (SCI-EXPANDED); Index Chemicus (IC); Current Chemical Reactions (CCR-EXPANDED)</t>
  </si>
  <si>
    <t>771KW</t>
  </si>
  <si>
    <t>WOS:000188785400006</t>
  </si>
  <si>
    <t>Peck, LS; Barnes, DKA</t>
  </si>
  <si>
    <t>Metabolic flexibility: the key to long-term evolutionary success in Bryozoa?</t>
  </si>
  <si>
    <t>PROCEEDINGS OF THE ROYAL SOCIETY B-BIOLOGICAL SCIENCES</t>
  </si>
  <si>
    <t>metabolism; activity; colonial; polar; ectotherm</t>
  </si>
  <si>
    <t>ANTARCTIC BRYOZOAN; FEEDING-ACTIVITY; LIFE</t>
  </si>
  <si>
    <t>Oxygen consumption (MO2) and activity were evaluated in Antarctic Bryozoa. Three species representing two different morphologies, flat sheet, laminar forms, Isoseculiflustra tenuis and Kymella polaris, and the bush form Camptoplites bicornis were used. In Bryozoa, activity is measured as the proportion of colony zooids with their lophophores extended. In L. tenuis and K. polaris, residual analysis showed that the percentage of zooids with extended lophophores was not correlated with colony MO2. Lophophore extension is, therefore, a poor measure of activity, and other costs (e.g. growth, reproduction, storage) probably form the major metabolic Costs. MO2 per unit of ash-free dry mass (AFDM) in the laminar forms was low compared with other Antarctic marine invertebrates, but not lower than brachiopods and echinoderms. However, the lowest rate here, 16.8 mug O-2 g AFDM(-1) h(-1) for a K. polaris colony, is (to our knowledge) the lowest for any animal so far reported. MO2 per unit of AFDM for C. bicornis, however, is among the highest reported for sessile or slow moving Antarctic marine ectotherms, with values similar to those for bivalve and gastropod molluscs. The highest rate, 527 mug O-2 g AFDM(-1) h(-1) for one colony is (to our knowledge) the highest reported for polar animals of this type. Extreme diversity in metabolic strategy may explain the bryozoan long evolutionary record and great success in shallow marine environments worldwide.</t>
  </si>
  <si>
    <t>Peck, LS (corresponding author), British Antarctic Survey, High Cross,Madingley Rd, Cambridge CB3 0ET, England.</t>
  </si>
  <si>
    <t>l.peck@bas.ac.uk</t>
  </si>
  <si>
    <t>ROYAL SOC</t>
  </si>
  <si>
    <t>6-9 CARLTON HOUSE TERRACE, LONDON SW1Y 5AG, ENGLAND</t>
  </si>
  <si>
    <t>0962-8452</t>
  </si>
  <si>
    <t>P ROY SOC B-BIOL SCI</t>
  </si>
  <si>
    <t>Proc. R. Soc. B-Biol. Sci.</t>
  </si>
  <si>
    <t>FEB 7</t>
  </si>
  <si>
    <t>S18</t>
  </si>
  <si>
    <t>S21</t>
  </si>
  <si>
    <t>10.1098/rsbl.2003.0053</t>
  </si>
  <si>
    <t>Biology; Ecology; Evolutionary Biology</t>
  </si>
  <si>
    <t>Life Sciences &amp; Biomedicine - Other Topics; Environmental Sciences &amp; Ecology; Evolutionary Biology</t>
  </si>
  <si>
    <t>771LK</t>
  </si>
  <si>
    <t>WOS:000188786700006</t>
  </si>
  <si>
    <t>Lam, MM; Rodger, AS</t>
  </si>
  <si>
    <t>A test of the magnetospheric source of traveling convection vortices</t>
  </si>
  <si>
    <t>traveling convection vortices; conjugate; magnetosphere-ionosphere coupling; solar wind pressure pulses; current generator; voltage generator</t>
  </si>
  <si>
    <t>GEOMAGNETIC SUDDEN COMMENCEMENT; GROUND MAGNETIC SIGNATURES; SOLAR-WIND; IONOSPHERIC CONDUCTIVITY; OCCURRENCE PATTERNS; PHYSICAL MODEL; INSTRUMENT; LATITUDES; EVENTS; CLEFT</t>
  </si>
  <si>
    <t>[1] Traveling convection vortices (TCVs) are a powerful tool for probing the nature of the coupling between the solar wind, the magnetosphere, and the ionosphere. There is no reliable model of the plasma concentration in the magnetosphere, resulting in uncertainties about the factors controlling the scale size, the motion, and the numbers of field-aligned currents associated with TCV events. There is also uncertainty about whether TCV generation is current driven, voltage driven, or even driven by some more complex source. We use conjugate ground-based magnetometer data from the Greenland magnetometer chain and Antarctica to test the nature of the magnetospheric source of 18 TCV events associated with changes in the magnetopause dynamic pressure. This is achieved by statistically comparing two groups of TCV events: for one group the conjugate ionospheres are of similar conductivity, and for the other group the conductivities of the conjugate ionospheres differ by an order of magnitude. Statistically, we find that conjugate TCV events are of similar intensity in both hemispheres regardless of any difference in conductivity between the two hemispheres. We propose that this is evidence in favor of a constant current source for TCVs where the amplitude of a TCV is controlled by the local plasma concentration, the magnetic field strength, and the acceleration of the plasma.</t>
  </si>
  <si>
    <t>British Antarctic Survey, Div Phys Sci, Cambridge CB3 0ET, England</t>
  </si>
  <si>
    <t>Lam, MM (corresponding author), British Antarctic Survey, Div Phys Sci, Madingley Rd, Cambridge CB3 0ET, England.</t>
  </si>
  <si>
    <t>m.lam@bas.ac.uk; asro@pcmail.nerc-bas.ac.uk</t>
  </si>
  <si>
    <t>FEB 6</t>
  </si>
  <si>
    <t>A02204</t>
  </si>
  <si>
    <t>10.1029/2003JA010214</t>
  </si>
  <si>
    <t>775NM</t>
  </si>
  <si>
    <t>WOS:000189047600002</t>
  </si>
  <si>
    <t>Stimpfle, RM; Wilmouth, DM; Salawitch, RJ; Anderson, JG</t>
  </si>
  <si>
    <t>First measurements of ClOOCl in the stratosphere: The coupling of ClOOCl and ClO in the Arctic polar vortex</t>
  </si>
  <si>
    <t>stratosphere; photochemistry; chlorine dimer</t>
  </si>
  <si>
    <t>IN-SITU OBSERVATIONS; ABSORPTION CROSS-SECTIONS; ANTARCTIC OZONE; SELF-REACTION; NASA ER-2; VIBRATIONAL-SPECTRA; CHLORINE; WINTER; CL2O2; PHOTOCHEMISTRY</t>
  </si>
  <si>
    <t>The first measurements of ClOOCl in the stratosphere have been acquired from a NASA ER-2 aircraft, deployed from Kiruna, Sweden (68degreesN, 21degreesE), during the joint SOLVE/THESEO-2000 mission of the winter of 1999/2000. ClOOCl is detected by thermal dissociation into two ClO fragments that are measured by the well-known technique of chemical conversion, vacuum ultraviolet resonance fluorescence. Ambient ClO is detected simultaneously. Observations of the ratio [ClOOCl]/[ClO](2) (estimated uncertainty of +/-25%, 1 sigma) are used with a time-dependent photochemical model, to test the model representation of the ratios of kinetic parameters J/k(Prod) and k(Loss)/k(Prod) for day and nighttime observations, respectively. Here, k(Prod) and k(Loss) are the rate constants for ClOOCl production and loss, respectively, and J is the photolysis rate of ClOOCl. The observations are in good agreement with J based upon the 2002 JPL recommended cross sections for ClOOCl [Sander et al., 2003], if the true value of k(Prod) is given by either the 2000 JPL recommendation [Sander et al., 2000] or the work of Trolier et al. [1990]. The larger values of k(Prod) given by Bloss et al. [2001] and the 2002 JPL recommendation are consistent with the observations only if J is increased by a significant amount. This is accomplished if J is calculated with the larger ClOOCl cross sections measured by Burkholder et al. [ 1990]. The J values for ClOOCl based on the Huder and DeMore [1995] cross sections are too small, by factors of similar to1.6 to 2.5 for all values of k(Prod), based on the observations. Nighttime results suggest that, for 190 &lt; T &lt; 200 K, the values for K-Eq (the equilibrium constant, equal to the ratio of k(Prod)/k(Loss)) of Cox and Hayman [1988] and Avallone and Toohey [2001] are in best agreement with the observations.</t>
  </si>
  <si>
    <t>Harvard Univ, Dept Chem &amp; Biol Chem, Cambridge, MA 02138 USA; CALTECH, Jet Prop Lab, Pasadena, CA 91109 USA</t>
  </si>
  <si>
    <t>Harvard University; California Institute of Technology; National Aeronautics &amp; Space Administration (NASA); NASA Jet Propulsion Laboratory (JPL)</t>
  </si>
  <si>
    <t>Harvard Univ, Dept Chem &amp; Biol Chem, Cambridge, MA 02138 USA.</t>
  </si>
  <si>
    <t>stimpfle@huarp.harvard.edu</t>
  </si>
  <si>
    <t>Salawitch, Ross/B-4605-2009</t>
  </si>
  <si>
    <t>FEB 4</t>
  </si>
  <si>
    <t>D3</t>
  </si>
  <si>
    <t>D03301</t>
  </si>
  <si>
    <t>10.1029/2003JD003811</t>
  </si>
  <si>
    <t>775MG</t>
  </si>
  <si>
    <t>WOS:000189044300001</t>
  </si>
  <si>
    <t>Liu, AQ; Moore, GWK; Tsuboki, K; Renfrew, IA</t>
  </si>
  <si>
    <t>A high-resolution simulation of convective roll clouds during a cold-air outbreak</t>
  </si>
  <si>
    <t>PLANETARY BOUNDARY-LAYER; LARGE-EDDY-SIMULATION; LAKE-EFFECT SNOW; NUMERICAL-SIMULATION; LABRADOR SEA; VORTICES; MODEL; ATMOSPHERE</t>
  </si>
  <si>
    <t>A ubiquitous feature of the high latitude ocean is the occurrence of convective clouds that are organized into two-dimensional structures known as roll clouds or cloud streets. In this paper, we present a simulation of these structures that was performed in a domain large enough to simulate numerous roll clouds and their downstream evolution at a resolution sufficient to resolve the individual convective clouds. The simulations were initialized and validated using observations of roll clouds over the Labrador Sea. The model results indicate that the secondary flow associated with the roll clouds results in significant differences in the temperature, humidity and momentum fields between the updrafts and downdrafts. The model was also able to reproduce the observed downstream evolution of the clouds as the organization of the convection changed from two-dimensional rolls to three-dimensional closed cells.</t>
  </si>
  <si>
    <t>Univ Toronto, Dept Phys, Toronto, ON, Canada; Nagoya Univ, Hydrospher Atmospher Res Ctr, Nagoya, Aichi, Japan; British Antarctic Survey, Div Phys Sci, Cambridge CB3 0ET, England</t>
  </si>
  <si>
    <t>University of Toronto; Nagoya University; UK Research &amp; Innovation (UKRI); Natural Environment Research Council (NERC); NERC British Antarctic Survey</t>
  </si>
  <si>
    <t>Liu, AQ (corresponding author), Univ Toronto, Dept Phys, Toronto, ON, Canada.</t>
  </si>
  <si>
    <t>liuqi@atmosp.physics.utoronto.ca</t>
  </si>
  <si>
    <t>Moore, George Kent/D-8518-2011; Renfrew, Ian A/E-4057-2010</t>
  </si>
  <si>
    <t>Moore, George Kent/0000-0002-3986-5605; Renfrew, Ian/0000-0001-9379-8215</t>
  </si>
  <si>
    <t>FEB 3</t>
  </si>
  <si>
    <t>L03101</t>
  </si>
  <si>
    <t>10.1029/2003GL018530</t>
  </si>
  <si>
    <t>775LY</t>
  </si>
  <si>
    <t>Bronze, Green Accepted</t>
  </si>
  <si>
    <t>WOS:000189043200003</t>
  </si>
  <si>
    <t>Savoye, N; Dehairs, F; Elskens, M; Cardinal, D; Kopczynska, EE; Trull, TW; Wright, S; Baeyens, W; Griffiths, FB</t>
  </si>
  <si>
    <t>Regional variation of spring N-uptake and new production in the Southern Ocean</t>
  </si>
  <si>
    <t>N-uptake; f-ratio; new production; Southern Ocean</t>
  </si>
  <si>
    <t>POLAR FRONTAL ZONES; MARGINAL ICE-ZONE; CARBON EXPORT; PHYTOPLANKTON; NITROGEN; SEA; VARIABILITY; AUSTRALIA; FLUXES; MODEL</t>
  </si>
  <si>
    <t>Nitrate, ammonium and urea uptake were examined in the Southern Ocean ( Australian sector) during the 2001 austral spring. On the basis of N-uptake conditions, three regions were distinguished: ( 1) the Sub-Antarctic Zone and the Sub-Antarctic Front, ( 2) the Polar and Inter-Polar Frontal Zones, and ( 3) the Antarctic Zone-South and the Seasonal Ice Zone. N-uptake was highest in region 3 and dominated by new production. Region 1 had the lowest N-uptake, and switched from regenerated to new production between two visits approximately 1 month apart. Region 2 displayed intermediate N-uptake and the lowest new production. This contrasts with previous study at 170 degreesW where new production was high around the Polar Front and indicates that this area is not highly productive nor particle-exporting at all longitudes. Overall, N-uptake and new production were low all along the latitudinal transect compared to other areas of the Southern Ocean under spring conditions.</t>
  </si>
  <si>
    <t>Free Univ Brussels, Dept Analyt &amp; Environm Chem, Brussels, Belgium; Royal Museum Cent Africa, Dept Geol, Tervuren, Belgium; Polish Acad Sci, Dept Antarctic Biol, Warsaw, Poland; Univ Tasmania, Antarctic Climate &amp; Ecosyst Cooperat Res Ctr, Hobart, Tas 7001, Australia; CSIRO Marine Res, Hobart, Tas, Australia; Australian Antarctic Div, Kingston, Tas, Australia</t>
  </si>
  <si>
    <t>Universite Libre de Bruxelles; Royal Museum for Central Africa; Polish Academy of Sciences; University of Tasmania; Antarctic Climate &amp; Ecosystems Cooperative Research Centre (ACE CRC); Commonwealth Scientific &amp; Industrial Research Organisation (CSIRO); Australian Antarctic Division</t>
  </si>
  <si>
    <t>Free Univ Brussels, Dept Analyt &amp; Environm Chem, Brussels, Belgium.</t>
  </si>
  <si>
    <t>nsavoye@vub.ac.be</t>
  </si>
  <si>
    <t>Cardinal, Damien/AAM-6215-2021; Trull, Tom W/B-7028-2014; Baeyens, Willy F/A-9366-2010</t>
  </si>
  <si>
    <t>Cardinal, Damien/0000-0003-1238-8412;</t>
  </si>
  <si>
    <t>L03301</t>
  </si>
  <si>
    <t>10.1029/2003GL018946</t>
  </si>
  <si>
    <t>WOS:000189043200005</t>
  </si>
  <si>
    <t>Bano, N; Ruffin, S; Ransom, B; Hollibaugh, JT</t>
  </si>
  <si>
    <t>Phylogenetic composition of Arctic Ocean archaeal assemblages and comparison with antarctic assemblages</t>
  </si>
  <si>
    <t>APPLIED AND ENVIRONMENTAL MICROBIOLOGY</t>
  </si>
  <si>
    <t>MARINE PLANKTONIC ARCHAEA; RIBOSOMAL-RNA SEQUENCES; DEEP-SEA; SOUTHERN-OCEAN; VERTICAL-DISTRIBUTION; DIVERSITY; BACTERIA; ENVIRONMENTS; ABUNDANCE; SEDIMENTS</t>
  </si>
  <si>
    <t>Archaea assemblages from the Arctic Ocean and Antarctic waters were compared by PCR-denaturing gradient gel electrophoresis (DGGE) analysis of 16S rRNA genes amplified using the Archaea-specific primers 344f and 517r. Inspection of the DGGE fingerprints of 33 samples from the Arctic Ocean (from SCICEX submarine cruises in 1995, 1996, and 1997) and 7 Antarctic samples from Gerlache Strait and Dallman Bay revealed that the richness of Archaea assemblages was greater in samples from deep water than in those from the upper water column in both polar oceans. DGGE banding patterns suggested that most of the Archaea ribotypes were common to both the Arctic Ocean and the Antarctic Ocean. However, some of the Euryarchaeota ribotypes were unique to each system. Cluster analysis of DGGE fingerprints revealed no seasonal variation but supported depth-related differences in the composition of the Arctic Ocean Archaea assemblage. The phylogenetic composition of the Archaea assemblage was determined by cloning and then sequencing amplicons obtained from the Archaea-specific primers 21f and 958r. Sequences of 198 clones from nine samples covering three seasons and all depths grouped with marine group I Crenarchaeota (111 clones), marine group 11 Euryarchaeota (86 clones), and group IV Euryarchaeota (I clone). A sequence obtained only from a DGGE band was similar to those of the marine group III Euryarchaeota.</t>
  </si>
  <si>
    <t>Univ Georgia, Dept Marine Sci, Athens, GA 30602 USA</t>
  </si>
  <si>
    <t>University System of Georgia; University of Georgia</t>
  </si>
  <si>
    <t>Univ Georgia, Dept Marine Sci, Athens, GA 30602 USA.</t>
  </si>
  <si>
    <t>aquadoc@uga.edu</t>
  </si>
  <si>
    <t>AMER SOC MICROBIOLOGY</t>
  </si>
  <si>
    <t>1752 N ST NW, WASHINGTON, DC 20036-2904 USA</t>
  </si>
  <si>
    <t>0099-2240</t>
  </si>
  <si>
    <t>1098-5336</t>
  </si>
  <si>
    <t>APPL ENVIRON MICROB</t>
  </si>
  <si>
    <t>Appl. Environ. Microbiol.</t>
  </si>
  <si>
    <t>FEB</t>
  </si>
  <si>
    <t>10.1128/AEM.70.2.781-789.2004</t>
  </si>
  <si>
    <t>772RK</t>
  </si>
  <si>
    <t>WOS:000188854900019</t>
  </si>
  <si>
    <t>Julshamn, K; Malde, MK; Bjorvatn, K; Krogedal, P</t>
  </si>
  <si>
    <t>Fluoride retention of Atlantic salmon (Salmo salar) fed krill meal</t>
  </si>
  <si>
    <t>AQUACULTURE NUTRITION</t>
  </si>
  <si>
    <t>Atlantic salmon; fluoride; krill meal; nutrition; retention</t>
  </si>
  <si>
    <t>EUPHAUSIA-SUPERBA; ANTARCTIC KRILL</t>
  </si>
  <si>
    <t>The present experiment was performed to study how fluoride from krill meal enriched muscle, whole fish and bone of adult Atlantic salmon (Salmo salar) reared in sea water. Atlantic salmon (mean weight 0.5 kg) were divided into four triplicate groups and fed a commercial fish meal based diets with 0, 100, 200 and 300 g krill kg(-1) feed, respectively, for 12 weeks. The fluoride concentrations in the experimental feeds were analysed to be 18, 132, 235 and 358 mg kg(-1), respectively. Growth, mortality and feed efficiency were recorded through the experiment. Fluoride concentration was measured in muscle, whole-body, and bone initially and after 12 weeks of feeding. The fluoride concentrations in the samples were determined by alkali fusion and fluoride ion-selective electrode. Growth, mortality and feed efficiency ratio were not affected by the dietary treatments. The results showed that fluoride concentration in muscle, whole body and bone were not affected by the dietary fluoride level. The fluoride concentration in the tissues showed great variation among replicates of the group given the same diet. Fillets of the fish varied between 0.3 and 1.4 mg fluoride kg(-1) wet weight, whereas the whole-body concentration of fluoride varied between 3.3 and 6.1 mg kg(-1) wet weight and the fluoride bone concentration varied between 5.8 and 7.2 mg kg(-1) fresh weight. These results suggest that Atlantic salmon are highly tolerant of dietary fluoride given as krill meal with concentration of fluoride up to 350 mg kg(-1) diet, and that accumulation of fluoride from feeding diets containing krill meal does not lead to tissue accumulation in the fish, at least over a short period of time.</t>
  </si>
  <si>
    <t>Natl Inst Nutr &amp; Seafood Res, N-5804 Bergen, Norway; Univ Bergen, Fac Dent, Lab Dent Res, Bergen, Norway; EWOS Innovat AS, Dirdal, Norway</t>
  </si>
  <si>
    <t>University of Bergen</t>
  </si>
  <si>
    <t>Julshamn, K (corresponding author), Natl Inst Nutr &amp; Seafood Res, POB 176 Sentrum, N-5804 Bergen, Norway.</t>
  </si>
  <si>
    <t>Kjellevold, Marian/Q-6334-2019</t>
  </si>
  <si>
    <t>Kjellevold, Marian/0000-0001-7070-5784</t>
  </si>
  <si>
    <t>1353-5773</t>
  </si>
  <si>
    <t>AQUACULT NUTR</t>
  </si>
  <si>
    <t>Aquac. Nutr.</t>
  </si>
  <si>
    <t>10.1046/j.1365-2095.2003.00273.x</t>
  </si>
  <si>
    <t>Fisheries</t>
  </si>
  <si>
    <t>761GG</t>
  </si>
  <si>
    <t>gold</t>
  </si>
  <si>
    <t>WOS:000187892700002</t>
  </si>
  <si>
    <t>Jovanovic-Galovic, A; Blagojevic, DP; Grubor-Lajsic, G; Worland, R; Spasic, MB</t>
  </si>
  <si>
    <t>Role of antioxidant defense during different stages of preadult life cycle in European corn borer (Ostrinia nubilalis, Hubn.):: Diapause and metamorphosis</t>
  </si>
  <si>
    <t>ARCHIVES OF INSECT BIOCHEMISTRY AND PHYSIOLOGY</t>
  </si>
  <si>
    <t>Ostrinia; diapause; larvae; pupae; glutathione; ascorbate; catalase</t>
  </si>
  <si>
    <t>GLUTATHIONE-S-TRANSFERASE; SUPEROXIDE-DISMUTASE; DEHYDROASCORBIC ACID; RESPIRATORY ENZYMES; FAT-BODY; CATALASE; PEROXIDASE; REDUCTASE; OXYGEN; LARVAE</t>
  </si>
  <si>
    <t>Antioxidant enzymes, total glutathione (GSH), and ascorbic acid (ASA) were determined in whole body homogenates of nondiapausing larvae, diapausing larvae during the diapausing period (October, December, and February), and in pupae emerged from both diapausing and nondiapausing larvae of the European corn borer (Ostrinia nubilalis, Hubn., Lepidoptera: Pyralidae). The activities of catalase, selenium nondependent glutathione peroxidase (GPx), and glutathione-S-transferase (GST), as well as the content of GSH and ASA, were found to vary throughout the larval diapause. Compared to diapausing larvae, nondiapausing larvae were higher in levels of catalose, GPx, GST, and dehydroascorbate reductase (DHAR) activity. GSH content was also increased. However, nondiapausing larvae contained less ASA than diapausing ones. Pupae had higher GPx and GST activity and an increased ASA content compared to larvae. The pupae emerged from nondiapausing larvae had higher GST, glutathione reductase (GR), and DHAR activities, but lower GPx activity and ASA content than those emerged from diapausing larvae. Correlation analysis revealed differences in the way the antioxidant level is equilibrated for a particular stage and developmental pattern. The results suggest that cellular antioxidants are involved in both the protection of cells and the regulation of redox levels during the pre-adult stages of Ostrinia nubilalis. (C) 2004 Wiley-Liss, Inc.</t>
  </si>
  <si>
    <t>Inst Biol Res, Dept Physiol, YU-11060 Belgrade, Serbia; Inst Biol, Fac Sci, Novi Sad, Serbia; British Antarctic Survey, NERC, Cambridge CB3 0ET, England</t>
  </si>
  <si>
    <t>University of Belgrade; UK Research &amp; Innovation (UKRI); Natural Environment Research Council (NERC); NERC British Antarctic Survey</t>
  </si>
  <si>
    <t>Inst Biol Res, Dept Physiol, 29 Novembra 142, YU-11060 Belgrade, Serbia.</t>
  </si>
  <si>
    <t>dblagoje@ibiss.bg.ac.yu</t>
  </si>
  <si>
    <t>Spasic, Mihajlo/AAE-9381-2020; Blagojević, Duško P/A-7739-2018</t>
  </si>
  <si>
    <t>Blagojević, Duško P/0000-0001-6338-2833; Jovanovic Galovic, Aleksandra/0000-0002-9488-9781; Spasic, Mihajlo/0000-0001-9046-0139</t>
  </si>
  <si>
    <t>0739-4462</t>
  </si>
  <si>
    <t>1520-6327</t>
  </si>
  <si>
    <t>ARCH INSECT BIOCHEM</t>
  </si>
  <si>
    <t>Arch. Insect Biochem. Physiol.</t>
  </si>
  <si>
    <t>10.1002/arch.10126</t>
  </si>
  <si>
    <t>Biochemistry &amp; Molecular Biology; Entomology; Physiology</t>
  </si>
  <si>
    <t>770CK</t>
  </si>
  <si>
    <t>WOS:000188705500003</t>
  </si>
  <si>
    <t>Racine, C; Jandt, R; Meyers, C; Dennis, J</t>
  </si>
  <si>
    <t>Tundra fire and vegetation change along a hillslope on the Seward Peninsula, Alaska, USA</t>
  </si>
  <si>
    <t>ARCTIC ANTARCTIC AND ALPINE RESEARCH</t>
  </si>
  <si>
    <t>CLIMATE-CHANGE; ARCTIC TUNDRA; RECOVERY; RESPONSES</t>
  </si>
  <si>
    <t>A 1977 tundra fire burned a hillslope where prefire soils and vegetation ranged from poorly drained moist tussock-shrub tundra on the lower slopes to well-drained dwarf shrub tundra on the back slope and very poorly drained wet sedge meadow on the flat crest. We sampled the vegetation on this slope before the fire and at 8 sites following the fire at irregular intervals from 1 yr to 25 yr. During the first decade after the fire, short-term recovery was dominated by bryophytes, sedges, and grasses from both regrowing sedge tussocks and seedlings. However, during the second and third decade, and by 24 yr after the fire, evergreen (Ledum palustre) and deciduous shrubs (mainly Salix pulchra willow) expanded dramatically so that shrub cover was generally higher than before the fire. Labrador tea has increased by vegetative means on the poorly drained lowest 3 tussock-shrub tundra sites. Upslope on the better-drained and more severely burned tussock-shrub and dwarf shrub tundra sites, willows became established from seed mainly during the first 10 yr after the fire and, based on their relatively large size (0.5-1 m tall) and cover, have grown rapidly during the past 15 to 20 yr. There has been very little or no recovery of Sphagnum moss and fruticose lichens after 24 yr at any site, except for Sphagnum moss in the wet meadow site. The permafrost active layer thickness has diminished to prefire levels at the lower slope tussock-shrub tundra sites but is much greater or degraded completely on the steeper slope, corresponding with the distribution of willow shrub colonization. These changes in tundra vegetation and permafrost following fire suggest that such fires could accelerate the predicted effects of climate warming on ecosystems in the Arctic.</t>
  </si>
  <si>
    <t>Cold Reg Res &amp; Engn Lab, Hanover, NH 03755 USA; Bur Land Management, Alaska Fire Serv, Ft Wainwright, AK 99703 USA; Bur Land Management, Kotzebue, AK 99752 USA; Natl Pk Serv, Washington, DC 20240 USA</t>
  </si>
  <si>
    <t>United States Department of Defense; United States Army; U.S. Army Corps of Engineers; U.S. Army Engineer Research &amp; Development Center (ERDC); Cold Regions Research &amp; Engineering Laboratory (CRREL); United States Department of the Interior</t>
  </si>
  <si>
    <t>Cold Reg Res &amp; Engn Lab, 72 Lyme Rd, Hanover, NH 03755 USA.</t>
  </si>
  <si>
    <t>cracine@crrel.usace.army.mil</t>
  </si>
  <si>
    <t>Jandt, Randi R/E-9018-2013</t>
  </si>
  <si>
    <t>TAYLOR &amp; FRANCIS LTD</t>
  </si>
  <si>
    <t>ABINGDON</t>
  </si>
  <si>
    <t>2-4 PARK SQUARE, MILTON PARK, ABINGDON OR14 4RN, OXON, ENGLAND</t>
  </si>
  <si>
    <t>1523-0430</t>
  </si>
  <si>
    <t>1938-4246</t>
  </si>
  <si>
    <t>ARCT ANTARCT ALP RES</t>
  </si>
  <si>
    <t>Arct. Antarct. Alp. Res.</t>
  </si>
  <si>
    <t>10.1657/1523-0430(2004)036[0001:TFAVCA]2.0.CO;2</t>
  </si>
  <si>
    <t>Environmental Sciences; Geography, Physical</t>
  </si>
  <si>
    <t>Environmental Sciences &amp; Ecology; Physical Geography</t>
  </si>
  <si>
    <t>841SG</t>
  </si>
  <si>
    <t>WOS:000222951100001</t>
  </si>
  <si>
    <t>Welker, JM; Fahnestock, JT; Povirk, KL; Bilbrough, CJ; Piper, RE</t>
  </si>
  <si>
    <t>Alpine grassland CO2 exchange and nitrogen cycling:: Grazing history effects, medicine bow range, Wyoming, USA</t>
  </si>
  <si>
    <t>ARCTIC TUNDRA; SUMMER TEMPERATURE; CARBON; WINTER; RESPONSES; ECOSYSTEM; FLUX; MINERALIZATION; HERBIVORY; SOILS</t>
  </si>
  <si>
    <t>Our study examined carbon dioxide exchange and nitrogen cycling over two consecutive years (winter and summer) in a grazed alpine grassland and in an embedded long-term grazing exclosure to ascertain whether grazing history had resulted in divergent soil carbon attributes, CO2 exchange rates, and different vegetation C and N and soil N processes. Soil C and N concentrations and masses were significantly higher in the grazed than in the ungrazed area, though grass leaf N was higher in the ungrazed area, as was vegetation biomass. Detectable amounts of CO2 were lost from the grazed and ungrazed areas of this grassland during the winters of 1998, 1999, and 2000, and at 6 of 15 winter flux sample dates, CO2 efflux was greater in the grazed area than in the ungrazed area. The ungrazed area consistently gained more C during the summer months than the grazed area, with net CO2 exchange peaking in mid-July 1998 at nearly 5 mumol m(-2) s(-1) in the ungrazed area compared to &lt;2 mu mol m(-2) s(-1) in the grazed area. During the 2-yr study period, the grazed area was a carbon source of 170 g C m-2, while the ungrazed area was a carbon sink of 83 g C m(-2). Lower N mineralization rates early and late in the summer (1999) in the grazed site at Libby Flats corresponded to reductions in net CO2 exchange and lower plant N content compared to the ungrazed exclosure. Based on these results, we suggest that: (1) long-term grazing in high-altitude rangelands can alter annual CO2 exchange and N dynamics; (2) temporal synchrony in C and N processes occur during the summer; that is, increased C exchange rates accompany increased N mineralization rates; and (3) integrative (total soil C and N) and instantaneous (CO2 exchange and vegetation N) measures of C and N dynamics may not necessarily lead to the same interpretation regarding C sequestration and N cycling in alpine grasslands.</t>
  </si>
  <si>
    <t>Colorado State Univ, Nat Resource Ecol Lab, Ft Collins, CO 80523 USA; Northwind Environm Consulting, Twin Falls, ID 83405 USA; Div Environm Qual State Wyoming, Cheyenne, WY 82002 USA</t>
  </si>
  <si>
    <t>Colorado State University</t>
  </si>
  <si>
    <t>Colorado State Univ, Nat Resource Ecol Lab, Ft Collins, CO 80523 USA.</t>
  </si>
  <si>
    <t>jwelker@nrel.colostate.edu</t>
  </si>
  <si>
    <t>Welker, Jeffrey M/C-9493-2013</t>
  </si>
  <si>
    <t>10.1657/1523-0430(2004)036[0011:AGCEAN]2.0.CO;2</t>
  </si>
  <si>
    <t>WOS:000222951100002</t>
  </si>
  <si>
    <t>Darmody, RG; Thorn, CE; Schlyter, P; Dixon, JC</t>
  </si>
  <si>
    <t>Relationship of vegetation distribution to soil properties in Karkevagge, Swedish Lapland</t>
  </si>
  <si>
    <t>ARCTIC-ALPINE ENVIRONMENT; WATER CHEMISTRY; CLIMATE-CHANGE; COLORADO; REGIME; RANGE; RATES; AREA</t>
  </si>
  <si>
    <t>Karkevagge, an alpine ecosystem in the subarctic, has been the subject of scientific study for half a century. We investigated the relationship of its vegetation to soil properties. At the lowest elevations, on stable portions of the landscape dominated by Betula and Empetrum, are found Spodosols developed in glacio-fluvial sediments. Cryosaprists occur in scattered bedrock depressions with bog-type vegetation. Cryofluvents are found in flood-prone areas covered by dwarf-willow thickets. Intermediate elevations have meadow-type vegetation with Cryofluvents on floodplains and on lower colluvial slopes, Cryaquents in wetter areas, and Cryorthents on steeper soliflucted slopes. Above that, on steep, west-facing Dryas-covered colluvial slopes, soils are Ca-rich Eutrocryepts and Haplocryolls. The highest-elevation soils are infertile with poor horizonation, despite their possible antiquity, and vegetation that is largely cryptogams. Dystrocryepts occur on more stable alpine locations; Cryorthents on soliflucted areas; and Haploturbels, with shallow permafrost, above 1400 m. Measured annual soil temperatures range from +2.4degreesC at a Dryas site to -3.4degreesC at 1585 to at an alpine cryptogam site. Vegetation distribution in Karkevagge is related to climatic factors, which are controlled by elevation and landscape position, and edaphic factors, which control soil moisture and nutrient availability.</t>
  </si>
  <si>
    <t>Univ Illinois, Dept Nat Resources &amp; Environm Sci, Urbana, IL 61801 USA; Univ Illinois, Dept Geog, Urbana, IL 61801 USA; Stockholm Univ, Dept Phys Geog &amp; Quaternary Geol, SE-10691 Stockholm, Sweden; Univ Arkansas, Dept Geosci, Fayetteville, AR 72701 USA</t>
  </si>
  <si>
    <t>University of Illinois System; University of Illinois Urbana-Champaign; University of Illinois System; University of Illinois Urbana-Champaign; Stockholm University; University of Arkansas System; University of Arkansas Fayetteville</t>
  </si>
  <si>
    <t>Univ Illinois, Dept Nat Resources &amp; Environm Sci, Urbana, IL 61801 USA.</t>
  </si>
  <si>
    <t>Schlyter, Peter/0009-0009-1522-4692</t>
  </si>
  <si>
    <t>10.1657/1523-0430(2004)036[0021:ROVDTS]2.0.CO;2</t>
  </si>
  <si>
    <t>WOS:000222951100003</t>
  </si>
  <si>
    <t>Gilbert, R; Butler, RD</t>
  </si>
  <si>
    <t>The physical limnology and sedimentology of Meziadin Lake, northern British Columbia, Canada</t>
  </si>
  <si>
    <t>CORDILLERAN ICE-SHEET; GLACIER-FED LAKE; SEDIMENTATION PROCESSES; COAST MOUNTAINS; KAMLOOPS LAKE; DAMMED LAKES; HECTOR LAKE; RECORD; ALBERTA; VARVE</t>
  </si>
  <si>
    <t>Meziadin Lake (34 km(2), 133 In maximum depth) is located on the east side of the Coast Mountains in northern British Columbia. Inflow from Strohn Creek is dominated by the nival flood, despite a glacier cover of 50.5 km(2) in the drainage basin. The nival flood generates turbid underflows in the lake that distribute sandy mud within 2 km of the point of inflow. During our study in 1999, turbidity currents and interflows along the thermocline continued intermittently through the summer, although the inflow of water and the suspended sediment loads decreased substantially. Sediment collected in traps throughout the lake indicate mass accumulation rates in the proximal region in excess of 200 g m(-2) d(-1) (11 mm) averaged over 69 d of observation during summer 1999, decreasing downtake to 1 g m(-2) d(-1) (0.06 mm) in the most distal region of the lake. The sediment trapped near the point of inflow has a strong mode of fine sand and is strongly negatively skewed, reflecting the competence of the turbidity currents. Texture of the sediments deposited on the lake floor decreases distally from material dominated by coarse silt and fine sand to clay sized material. Sub-bottom acoustic data document more than 180 m of accumulation in the proximal region, decreasing to &lt;20 m distally, making the mean rates of accumulation since deglaciation (16 and 1.8 mm yr(-1), respectively) somewhat greater than those at present. This decrease is associated with changing environmental conditions and diversion of a significant portion of the drainage basin associated with the retreat of Strohn Glacier in the 20th century.</t>
  </si>
  <si>
    <t>Queens Univ, Dept Geog, Kingston, ON K7L 3N6, Canada</t>
  </si>
  <si>
    <t>Queens University - Canada</t>
  </si>
  <si>
    <t>Gilbert, R (corresponding author), Queens Univ, Dept Geog, Kingston, ON K7L 3N6, Canada.</t>
  </si>
  <si>
    <t>gilbert@lake.geog.queensu.ca</t>
  </si>
  <si>
    <t>INST ARCTIC ALPINE RES</t>
  </si>
  <si>
    <t>UNIV COLORADO, BOULDER, CO 80309 USA</t>
  </si>
  <si>
    <t>10.1657/1523-0430(2004)036[0033:TPLASO]2.0.CO;2</t>
  </si>
  <si>
    <t>WOS:000222951100004</t>
  </si>
  <si>
    <t>Ali, AA; Roiron, P; Guendon, JL; Terral, JF</t>
  </si>
  <si>
    <t>Subalpine vegetation dynamics in the southern French Alps during the Holocene: Evidence from plant imprints and charcoal preserved in travertine sequences</t>
  </si>
  <si>
    <t>TIMBERLINE; FIRE; LAKE; WOOD; IDENTIFICATION; FLUCTUATIONS; SEDIMENTS; CRISTOL; HISTORY; CLIMATE</t>
  </si>
  <si>
    <t>In the Aigue Agnelle Valley (Queyras, southern French Alps), between 2200 and 2300 m a.s.l., several travertine deposits are present. Some, containing leaf imprints and pine cones, have been dated back to the early Holocene. Others containing charcoal fragments and dating back to the middle Holocene have also been found. The study of the plant imprints and charcoal within these travertines allowed us to reconstruct the vegetation dynamics of this valley. During the early Holocene (9800 B.P.), Pinus uncinata (mountain pine) was the most common tree. It was gradually replaced by Pinus cembra (arrola pine) in association with Betula (birch) and Vaccinium sp. (berry), probably as a result of climatic warming (ca. 7600 B.P.). Since ca. 5600 B.P., Pinus cembra seems to have regressed in correlation with the development of Larix decidua/Picea abies (larch/spruce) as a consequence of fire events related to climatic and/or anthropogenic factors.</t>
  </si>
  <si>
    <t>Univ Montpellier 2, Ctr Bioarcheol &amp; Ecol, UMR 5059, CNRS UM2 EPHE,Inst Bot, F-34090 Montpellier, France; CNRS, MMSH, UMR 6636, CNRS, F-13094 Aix En Provence 2, France</t>
  </si>
  <si>
    <t>Universite de Montpellier; Aix-Marseille Universite; Centre National de la Recherche Scientifique (CNRS)</t>
  </si>
  <si>
    <t>Univ Montpellier 2, Ctr Bioarcheol &amp; Ecol, UMR 5059, CNRS UM2 EPHE,Inst Bot, 163 Rue Auguste Broussonet, F-34090 Montpellier, France.</t>
  </si>
  <si>
    <t>10.1657/1523-0430(2004)036[0042:SVDITS]2.0.CO;2</t>
  </si>
  <si>
    <t>WOS:000222951100005</t>
  </si>
  <si>
    <t>Grab, SW; Deschamps, CL</t>
  </si>
  <si>
    <t>Geomorphological and geoecological controls and processes following gully development in alpine mires, Lesotho</t>
  </si>
  <si>
    <t>SOIL-MOISTURE; EROSION</t>
  </si>
  <si>
    <t>Despite the international reputation of Lesotho's severely eroded landscape, there have been no previous quantitative accounts of soil erosion processes and associated consequences from the alpine belt. This paper examines sedimentological, geomorphological, and geoecological controls and processes following gully development within alpine mires in eastern Lesotho. Contemporary gully extension is controlled by exposure to various sedimentary sequences, by gully sidewall crack development, and by topographic aspect. Significant vertical gully denudation rates of 8 cm (mineral sediment) to 13 cm (peat) were recorded over an 18-mo period. During a 5-d field experiment in July 1999, the continuously frozen south-facing gully walls recorded considerable horizontal movement of peat blocks (avg. = 19.8 mm/5 d), whereas needle ice-induced horizontal particle movement rates on north-facing walls averaged 10.2 mm/5 d. Soil moisture transect data show a pronounced reduction in surface soil moisture toward and between the gullied areas of a mire. The percentage of moisture loss toward midwinter was found to be greater between the gullies (47.4%) than in the adjoining zones, where moisture loss averaged 33.6%. Similarly, vegetation transects indicate a reduction in vegetation cover at the drier and more intensely burrowed (by Otomys, or ice rats) zones close to the gullies. Invasive dwarf Karroid shrubs (e.g., Chrysocoma ciliata) are now establishing themselves alongside gullies, burrowed sites, and fringe areas of mires. We found that dryland plant invasions around grazing posts and heavily grazed areas on the slopes subsequently spread along alpine hydrological systems, particularly where gully erosion has created a suitable habitat.</t>
  </si>
  <si>
    <t>Univ Witwatersrand, Sch Geog Archaeol &amp; Environm Studies, ZA-2050 Johannesburg, South Africa</t>
  </si>
  <si>
    <t>University of Witwatersrand</t>
  </si>
  <si>
    <t>Univ Witwatersrand, Sch Geog Archaeol &amp; Environm Studies, ZA-2050 Johannesburg, South Africa.</t>
  </si>
  <si>
    <t>grabs@geoarc.wits.ac.za</t>
  </si>
  <si>
    <t>10.1657/1523-0430(2004)036[0049:GAGCAP]2.0.CO;2</t>
  </si>
  <si>
    <t>WOS:000222951100006</t>
  </si>
  <si>
    <t>Dahms, DE</t>
  </si>
  <si>
    <t>Relative and numeric age data for pleistocene glacial deposits and diamictons in and near Sinks Canyon, Wind River Range, Wyoming, USA</t>
  </si>
  <si>
    <t>SOIL DEVELOPMENT; SOUTHERN NEVADA; ROCKY-MOUNTAINS; DUST DEPOSITION; BULL LAKE; CALIFORNIA; PINEDALE; BASIN; SEQUENCE; CATENAS</t>
  </si>
  <si>
    <t>Glacial deposits are identified from within and near Sinks Canyon, southwest of Lander, Wyoming, representing 6 first-order Pleistocene glaciations. Relative-age analyses of the deposits (including moraine morphology and soil development characteristics) indicate that they correspond to 4 glaciations previously identified from the Wind River Range (Pinedale, Early Wisconsin, Bull Lake, and Sacagawea Ridge) and to 2 older glacial events (Younger and Older Pre-Sacagawea Ridge). Be-10 and Al-26 exposure ages associated with recessional Pinedale deposits are similar to those associated with recessional Pinedale deposits elsewhere in the range. Be-10 and Al-26 exposure ages also support the identification of Early Wisconsin deposits here. The Early Wisconsin deposits represent the second locality where O-isotope stage 4 glacial deposits are described from the Wind River Range. Preliminary analysis of Be-10 exposure data from the Older Pre-Sacagawea Ridge deposit suggests that a glacial advance occurred here before O-isotope stage 18 (&gt;800 ka). If true, then Sinks Canyon contains the most complete record to date of glaciation in the Wind River Range and the only reported record of Pleistocene glaciation prior to O-isotope stage 18 in the Rocky Mountains.</t>
  </si>
  <si>
    <t>Univ No Iowa, Dept Geog, Cedar Falls, IA 50614 USA</t>
  </si>
  <si>
    <t>University of Northern Iowa</t>
  </si>
  <si>
    <t>Dahms, DE (corresponding author), Univ No Iowa, Dept Geog, Cedar Falls, IA 50614 USA.</t>
  </si>
  <si>
    <t>dennis.dahms@uni.edu</t>
  </si>
  <si>
    <t>Dahms, Dennis/0000-0003-2882-4899</t>
  </si>
  <si>
    <t>10.1657/1523-0430(2004)036[0059:RANADF]2.0.CO;2</t>
  </si>
  <si>
    <t>WOS:000222951100007</t>
  </si>
  <si>
    <t>Mitchell, EAD</t>
  </si>
  <si>
    <t>Response of testate amoebae (protozoa) to N and P fertilization in an arctic wet sedge tundra</t>
  </si>
  <si>
    <t>MICROBIAL COMMUNITIES; SOIL; POLLUTION; CO2; INDICATORS; RHIZOPODA; PEATLAND; FOREST; LOOP</t>
  </si>
  <si>
    <t>There are few data on the effect of long-term manipulations on soil protozoa, and almost nothing is known about soil protozoa in Alaska. I studied the response of testate amoebae to nitrogen and phosphorus addition in an Arctic fen, at Toolik Lake Long-Term Experimental Research (LTER) Station, Alaska. Testate amoebae were extracted from Sphagnum mosses in control and fertilized plots. Of the 35 testate amoebae taxa recorded, 7 are first observations for the Arctic (excluding Russia) and 14 for Alaska. The total density and biomass of testate amoebae were significantly reduced, by 77% and 84%, in the fertilized plots. The structure of testate amoebae communities was also modified in those plots, although for most taxa the changes were not significant. Four taxa (Amphitrema flavum, Assulina muscorum, Placocista spinosa ssp. hyalina, and Hyalosphenia papilio) accounted for over half of the population in the control plots but only for 11% in the N and P plots. The densities of A. muscorum and Difflugia oviformis were significantly lower in the N and P-treated plots. The relative abundance and contribution to biomass of Centropyxis aerophila, Phryganella acropodia, and Tracheleuglypha dentata increased in the fertilized plots, while that of D. oviformis decreased. These effects suggest that testate amoebae respond to nutrient manipulations in the Arctic.</t>
  </si>
  <si>
    <t>Univ Alaska, Dept Biol Sci, Anchorage, AK 99508 USA</t>
  </si>
  <si>
    <t>University of Alaska System; University of Alaska Anchorage</t>
  </si>
  <si>
    <t>Univ Alaska, Dept Biol Sci, 3211 Providence Dr, Anchorage, AK 99508 USA.</t>
  </si>
  <si>
    <t>afeam@uaa.alaska.edu</t>
  </si>
  <si>
    <t>Mitchell, Edward AD/B-7259-2013</t>
  </si>
  <si>
    <t>Mitchell, Edward AD/0000-0003-0358-506X</t>
  </si>
  <si>
    <t>10.1657/1523-0430(2004)036[0078:ROTAPT]2.0.CO;2</t>
  </si>
  <si>
    <t>WOS:000222951100008</t>
  </si>
  <si>
    <t>Porazinska, DL; Fountain, AG; Nylen, TH; Tranter, M; Virginia, RA; Wall, DH</t>
  </si>
  <si>
    <t>The Biodiversity and biogeochemistry of cryoconite holes from McMurdo Dry Valley glaciers, Antarctica</t>
  </si>
  <si>
    <t>TAYLOR VALLEY; SOIL INVERTEBRATES; ICE; ECOSYSTEMS; COMMUNITIES; ALGAE; LIFE</t>
  </si>
  <si>
    <t>Once thought of as inert, ice has been increasingly recognized as a habitat suitable for life The landscape of the MCMurdo Dry Valleys (MCM) of Antarctica is dominated by glaciers, and glacier melt is the primary water source for life in soils, streams, and lakes. The glaciers, despite their cold and lifeless appearance, offer functioning habitats for life. The major objective of this study was to examine biogeochemical characteristics of miniecosystems present in cryoconite holes and to determine links to other components (soils, streams, and lakes) of the dry valley landscape. We examined cryoconite holes from 5 glaciers spanning the length of Taylor Valley, one of many valleys in the MCM. Cryoconite biotic communities were composed of the same species observed in streams and takes, namely, cyanobacteria (Chlorococcus, Chroococcus, Crinalium, Oscillatoria, Nostoc, and Sprirulina), rotifers (Philodina gregaria and Cephalodella catellina), tardigrades (Acutuncus antarcticus and Hypsibius spp.), and ciliates. Biotic communities did not reflect the composition of the immediately surrounding environments, suggesting the effects of eolian mixing and transport of sediments and biota across the valley. Gradients of chemistry and biotic abundance in cryoconite holes reflected the position of each glacier in the valley. Nitrogen and organic carbon concentration patterns across glaciers potentially resulted from biological activities in cryoconite holes. Properties of holes were stable from one to the next sampling season, suggesting that changes of cryoconite, hole properties develop on longer than yearly time scales.</t>
  </si>
  <si>
    <t>Colorado State Univ, Nat Resource Ecol Lab, Ft Collins, CO 80523 USA; Portland State Univ, Dept Geog, Portland, OR 97207 USA; Portland State Univ, Dept Geol, Portland, OR 97207 USA; Univ Bristol, Bristol Glaciol Ctr, Sch Geog Sci, Bristol BS8 1SS, Avon, England; Dartmouth Coll, Environm Studies Program, Hanover, NH 03755 USA</t>
  </si>
  <si>
    <t>Colorado State University; Portland State University; Portland State University; University of Bristol; Dartmouth College</t>
  </si>
  <si>
    <t>Univ Florida, Ft Lauderdale Res &amp; Educ Ctr, Ft Lauderdale, FL 33314 USA.</t>
  </si>
  <si>
    <t>dorotac@bellsouth.net</t>
  </si>
  <si>
    <t>Wall, Diana H/F-5491-2011; Tranter, Martyn/E-3722-2010</t>
  </si>
  <si>
    <t>Tranter, Martyn/0000-0003-2071-3094; Nylen, Thomas/0000-0001-9579-8702</t>
  </si>
  <si>
    <t>10.1657/1523-0430(2004)036[0084:TBABOC]2.0.CO;2</t>
  </si>
  <si>
    <t>WOS:000222951100009</t>
  </si>
  <si>
    <t>Takeuchi, N; Kohshima, S</t>
  </si>
  <si>
    <t>A snow algal community on Tyndall Glacier in the Southern Patagonia Icefield, Chile</t>
  </si>
  <si>
    <t>HIMALAYAN GLACIER; WINDMILL ISLANDS; ALBEDO; CHLOROPHYTA; CORE</t>
  </si>
  <si>
    <t>We quantitatively investigated a snow algal community on Tyndall Glacier of the Southern Patagonia Icefield, Chile, at an elevation from 300 to 1500 m a.s.l. We observed 7 species of snow and ice algae (Chlorophyta and cyanobacteria) on the glacier. These species were Mesotaenium (M.) berggrenii, Cylindrocystis (Cyl.) brebissonii, Ancylonema sp., Closterium sp., Chloromonas sp., Oscillatoriaceae cyanobacterium, and an unknown alga. The spatial distribution of these algae differed among the species. M. berggrenii, Cyl. brebissonii, Ancylonema sp., and Closterium sp. appeared mainly in the lower-elevation area (370-770 m a.s.l.), the unknown alga in the higher-elevation area (900-1500 in a.s.l.), and Chloromonas sp. and Oscillatoriaceae cyanobacterium in the middle part of the glacier. The mean cell concentration and total cell volume biomass ranged from 0 to 9.2 X 10(4) (mean: 1.8 X 10(4)) cells mL(-1), from 0 to 327 (mean: 63) muL m(-2), respectively. The cell volume biomass generally decreased with altitude. The community structure showed that M. berggrenii was dominant in the ice area (65-100% of total cell volume) and lower snow area (50-70%) and that the unknown alga was dominant in the higher snow area (100%). The Simpson's species diversity index was significantly different among the study sites but was generally low (less than 1.9) at all sites. The cell volume biomass and diversity index are relatively smaller on the Patagonian glacier than those in algal communities on Alaskan and Himalayan glaciers. Lower nutrient levels in precipitation are likely to cause the smaller algal biomass on the glacier.</t>
  </si>
  <si>
    <t>Res Inst Humanity &amp; Nat, Kamigyo Ku, Kyoto 6020878, Japan; Tokyo Inst Technol, Fac Sci, Grad Sch Biosci &amp; Biotechnol, Dept Biol Sci,Meguro Ku, Tokyo 1528551, Japan</t>
  </si>
  <si>
    <t>Research Institute for Humanity &amp; Nature (RIHN); Tokyo Institute of Technology</t>
  </si>
  <si>
    <t>Res Inst Humanity &amp; Nat, Kamigyo Ku, 335 Takashimacho, Kyoto 6020878, Japan.</t>
  </si>
  <si>
    <t>takeuchi@chikyu.ac.jp</t>
  </si>
  <si>
    <t>Takeuchi, Nozomu/Q-7869-2016</t>
  </si>
  <si>
    <t>Takeuchi, Nozomu/0000-0002-3267-5534</t>
  </si>
  <si>
    <t>10.1657/1523-0430(2004)036[0092:ASACOT]2.0.CO;2</t>
  </si>
  <si>
    <t>WOS:000222951100010</t>
  </si>
  <si>
    <t>Georges, C</t>
  </si>
  <si>
    <t>20th-century glacier fluctuations in the tropical Cordillera Blanca, Peru</t>
  </si>
  <si>
    <t>YANAMAREY GLACIER; MASS-BALANCE; RUNOFF</t>
  </si>
  <si>
    <t>The value of glacier fluctuations as indicators of climate change detection has been increasingly recognized in recent years. Tropical glaciers are of particular interest. The Cordillera Blanca in Peru (77degrees30'W, 9degreesS) is the largest glaciated area within the tropics. Its 20th-century fluctuations have been analyzed. The total ice coverage around 1990 was obtained using optical satellite data SPOT XS. Based on the 1990 results, inventories and estimates of the glaciation during the 20th century had to be corrected. The data in this paper illustrate the general ice retreat in the tropical Cordillera Blanca: 620 km in 1990, 660-680 km(2) in 1970, and 800-850 km(2) in 1930. The 1930 value documents the extent of glaciation shortly after an intense advance in the 1920s. The Little Ice Age extent is estimated as 850-900 km(2). The ice recession during the 20th century was not constant but was concentrated in two periods. Strong ice retreat occurred in the 1930s and 1940s and intermediate retreat from the mid-1970s until the end of the century. The ice coverage at the end of the 20th century is considered to be slightly below 600 km(2).</t>
  </si>
  <si>
    <t>Univ Innsbruck, Dept Geog, Trop Glaciol Grp, A-6020 Innsbruck, Austria</t>
  </si>
  <si>
    <t>University of Innsbruck</t>
  </si>
  <si>
    <t>Univ Innsbruck, Dept Geog, Trop Glaciol Grp, Innrain 52, A-6020 Innsbruck, Austria.</t>
  </si>
  <si>
    <t>christian.georges@uibk.ac.at</t>
  </si>
  <si>
    <t>10.1657/1523-0430(2004)036[0100:TGFITT]2.0.CO;2</t>
  </si>
  <si>
    <t>WOS:000222951100011</t>
  </si>
  <si>
    <t>Guglielmin, M; Camusso, M; Polesello, S; Valsecchi, S</t>
  </si>
  <si>
    <t>An old relict glacier body preserved in permafrost environment: The Foscagno rock glacier ice core (Upper Valtellina, Italian central Alps)</t>
  </si>
  <si>
    <t>ALPINE GLACIER; DEPOSITION; EVOLUTION; HOLOCENE; NITRATE; RECORD; AGE</t>
  </si>
  <si>
    <t>This paper shows the results of chemical and crystallographic analyses carried out on a core drilled within the frontal pan of the Foscagno rock glacier in the Italian Alps. We use 58 vertical thin sections spaced along the massive ice core, found between depths of 2.5 and 7.65 m, to describe the ice fabric of the core. We also discuss the results of chemical analyses of more than 50 samples. The lower part of the massive ice core between 4 and 7.65 In shows a mean crystal size of 1.5 cm and a crystal shape predominantly elongated along the horizontal plane with c-axes. These characteristics are similar to those of firn ice. In contrast, the upper core between 2.5 and 4 m displays vertical elongation of large bubbles, indicating superimposed ice and the influence of melting and refreezing processes. The presence of a seasonal signal in sulfate distribution and the strong correlation between sodium and chloride in the lower part of the core confirm cold firnification without appreciable phase changes. This well-preserved glacier ice body is probably younger than 2200 +/- 60 yr B.P., a minimum age for the rock glacier as indicated by the C-14 age of a buried paleosoil, although the possibility that it may be older age cannot be excluded. The glacier ice body seems to be a relict of a former glacier preserved within a larger permafrost body that characterizes almost all of the rock glacier and also occurs beneath the massive ice. This finding points out that different types of ice can be preserved within a single rock glacier, reflecting a complex geological and paleoclimatic history.</t>
  </si>
  <si>
    <t>Insubria Univ, I-21100 Varese, Italy; CNR, Water Res Inst, I-20047 Brugherio, Italy</t>
  </si>
  <si>
    <t>University of Insubria; Consiglio Nazionale delle Ricerche (CNR); Istituto di Ricerca sulle Acque (IRSA-CNR)</t>
  </si>
  <si>
    <t>Guglielmin, M (corresponding author), Insubria Univ, Via JH Dunant 3, I-21100 Varese, Italy.</t>
  </si>
  <si>
    <t>mauro.guglielmin@uninsubria.it</t>
  </si>
  <si>
    <t>Valsecchi, Sara/AAN-2990-2021; POLESELLO, STEFANO/N-7183-2015</t>
  </si>
  <si>
    <t>Valsecchi, Sara/0000-0003-2200-3475; POLESELLO, STEFANO/0000-0003-3371-1039</t>
  </si>
  <si>
    <t>10.1657/1523-0430(2004)036[0108:AORGBP]2.0.CO;2</t>
  </si>
  <si>
    <t>WOS:000222951100012</t>
  </si>
  <si>
    <t>Dyurgerov, MB; Carter, CL</t>
  </si>
  <si>
    <t>Observational evidence of increases in freshwater inflow to the Arctic Ocean</t>
  </si>
  <si>
    <t>MASS-BALANCE; GLACIERS; CLIMATE</t>
  </si>
  <si>
    <t>Analysis of mass balance data from arctic mountain and subpolar glaciers with an aggregate area of more than 300*10(3) km(2) reveals that these glaciers were the main source of increased freshwater inflow to the Arctic Ocean over the 1961-1998 period. The sum of net water inflow from glaciers was larger than net water inflow from rivers in the panarctic region, and the combined contribution from both glacier and land components had accelerated. Compared to the 1961-1990 averaged values, the largest combined contribution was observed at the end of the 1970s, declined in the 1980s, and began increasing again in the mid-1990s. Net glacier inflow supposedly increased due to Northern Hemisphere temperature warming. We attribute the increase in net river inflow to an increase in annual precipitation over the 50-70degreesN latitude belt in North America and Eurasia.</t>
  </si>
  <si>
    <t>Univ Colorado, Inst Arctic &amp; Alpine Res, Boulder, CO 80309 USA; Univ Calif Santa Cruz, Santa Cruz, CA 95064 USA</t>
  </si>
  <si>
    <t>University of Colorado System; University of Colorado Boulder; University of California System; University of California Santa Cruz</t>
  </si>
  <si>
    <t>Univ Colorado, Inst Arctic &amp; Alpine Res, 450 UCB, Boulder, CO 80309 USA.</t>
  </si>
  <si>
    <t>mark.dyurgerov@colorado.edu</t>
  </si>
  <si>
    <t>10.1657/1523-0430(2004)036[0117:OEOIIF]2.0.CO;2</t>
  </si>
  <si>
    <t>WOS:000222951100013</t>
  </si>
  <si>
    <t>Sumner, PD</t>
  </si>
  <si>
    <t>Rock weathering rates on subantarctic Marion Island</t>
  </si>
  <si>
    <t>MARITIME</t>
  </si>
  <si>
    <t>Subantarctic Marion island (46degreesS) is a shield volcano of basal gray lavas and younger black lava outflows. Rock weathering rates, as determined by annual mass loss from small clasts (&lt;400 g), was measured over a 3-yr period at 4 sites on the island on an altitudinal transect from the coast toward the interior. Mass loss from gray lava clasts was found to be 0.02% near sea level, increasing to 0.10% yr(-1) at 730 m a.s.l. Black lava clasts yielded mean losses of up to 0.72% at the sites, although no altitudinal trend in mass loss was evident. In the sea-spray zone, gray and black lava clasts monitored over 1 yr had mean losses of 0.30% and 0.41%, respectively. Weathering rates are marginally inflated by the annual weighing procedure, which has been determined to contribute approximately 0.01% to the measured gray lava clast mass losses, and 0.07% to the black lavas. Since none of the clasts showed visual signs of fracturing or flaking, mass loss appears to be on a granular scale at most, and material removal is probably assisted by rainwash. Extrapolated values suggest that black lava clasts can weather completely within 200 yr and gray lava clasts within approximately 1000 yr at high altitudes. These data have implications for the lifespan of periglacial landforms constituting small clasts, particularly those formed in the early Holocene.</t>
  </si>
  <si>
    <t>Univ Pretoria, Dept Geog Geoinformat &amp; Meteorol, ZA-0002 Pretoria, South Africa</t>
  </si>
  <si>
    <t>University of Pretoria</t>
  </si>
  <si>
    <t>Sumner, PD (corresponding author), Univ Pretoria, Dept Geog Geoinformat &amp; Meteorol, ZA-0002 Pretoria, South Africa.</t>
  </si>
  <si>
    <t>paul.sumner@up.ac.za</t>
  </si>
  <si>
    <t>Sumner, Paul D/J-4579-2012</t>
  </si>
  <si>
    <t>SUMNER, PAUL/0000-0002-0772-1500</t>
  </si>
  <si>
    <t>10.1657/1523-0430(2004)036[0123:RWROSM]2.0.CO;2</t>
  </si>
  <si>
    <t>WOS:000222951100014</t>
  </si>
  <si>
    <t>Stähli, M; Bayard, D; Wydler, H; Flühler, H</t>
  </si>
  <si>
    <t>Snowmelt infiltration into alpine soils visualized by dye tracer technique</t>
  </si>
  <si>
    <t>SANDY SOILS; WATER; PROFILES</t>
  </si>
  <si>
    <t>Snowmelt infiltration into alpine soils can be severely reduced and even impeded by soil frost. In order to learn more about the true nature of infiltration pathways into alpine soils, dye tracer experiments were set up at 2 locations in southern Switzerland: at Hannigalp (2100 m) and at Gd St Bernard. Over the course of two winters (2000-2001 and 2001-2002) we excavated vertical soil profiles during snowmelt to examine the distribution of a dye tracer (Brilliant Blue FCF) that had been applied on the surface of a 7-m(2) plot at the beginning of the winter. Soil conditions varied between the winters, with the soils remaining unfrozen during the first and a significant frozen layer forming during the second. With this method the dominant infiltration processes at these 2 sites were identified. During the first winter the water infiltration at Hannigalp showed a pronounced preferential behavior, whereas at Gd St Bernard we found a more homogeneous front-like infiltration. During the second winter the impeding impact of the frozen soil was clearly seen at the Hannigalp site-however, only in the first stage of the snowmelt. More decisive for the fort-nation of lateral surface runoff was the buildup of an ice layer on the soil surface due to melting and refreezing. Cold-chamber experiments, in which intact soil columns were irrigated with a dye tracer and a fluorescent tracer solution, confirmed our in situ observations with regard to heterogeneity and soil frost effect on the infiltration pattern. Our study showed that both tracers can be applied to frozen soil in the laboratory, whereas at the remote alpine locations only the dye tracer method was applicable.</t>
  </si>
  <si>
    <t>Swiss Fed Res Inst WSL Water Soils &amp; Rock Movemen, CH-8903 Birmensdorf, Switzerland; Ecole Polytech Fed Lausanne, Geolep, ENAC, CH-1015 Lausanne, Switzerland; ETH, Inst Terr Ecol, CH-8952 Schlieren, Switzerland</t>
  </si>
  <si>
    <t>Swiss Federal Institutes of Technology Domain; Ecole Polytechnique Federale de Lausanne; Swiss Federal Institutes of Technology Domain; ETH Zurich</t>
  </si>
  <si>
    <t>Stähli, M (corresponding author), Swiss Fed Res Inst WSL Water Soils &amp; Rock Movemen, Zurcherstr 111, CH-8903 Birmensdorf, Switzerland.</t>
  </si>
  <si>
    <t>manfred.staehli@wsl.ch; d.bayard@pmodwrc.ch; wydler@ito.umnw.ethz.ch; fluehler@ito.umnw.ethz.ch</t>
  </si>
  <si>
    <t>Stähli, Manfred/E-3903-2013</t>
  </si>
  <si>
    <t>10.1657/1523-0430(2004)036[0128:SIIASV]2.0.CO;2</t>
  </si>
  <si>
    <t>Green Accepted, Bronze, Green Submitted</t>
  </si>
  <si>
    <t>WOS:000222951100015</t>
  </si>
  <si>
    <t>Green, DA; Stephenson, FR</t>
  </si>
  <si>
    <t>On the footprints of supernovae in Antarctic ice cores</t>
  </si>
  <si>
    <t>ASTROPARTICLE PHYSICS</t>
  </si>
  <si>
    <t>historical supernovae; ice cores</t>
  </si>
  <si>
    <t>POLAR ICE; NITRATE; GREENLAND; NOVAE</t>
  </si>
  <si>
    <t>Over 20 years ago it was proposed that the effects of historical Galactic supernovae were detectable by enhancements seen in the nitrate levels in Antarctic ice cores. Although this original work is still cited, more recent work in this area that clearly shows no such association of nitrate levels with supernovae is not. The available results on nitrate levels in the literature are briefly reviewed. (C) 2003 Elsevier B.V. All rights reserved.</t>
  </si>
  <si>
    <t>Univ Cambridge, Cavendish Lab, Cambridge CB3 0HE, England; Univ Durham, Dept Phys, Durham DH1 3LE, England</t>
  </si>
  <si>
    <t>University of Cambridge; Durham University</t>
  </si>
  <si>
    <t>Univ Cambridge, Cavendish Lab, Madingley Rd, Cambridge CB3 0HE, England.</t>
  </si>
  <si>
    <t>dag@mrao.cam.ac.uk</t>
  </si>
  <si>
    <t>Green, David A/E-9609-2010; Green, David A/IUQ-0572-2023</t>
  </si>
  <si>
    <t>Green, David A/0000-0003-3189-9998;</t>
  </si>
  <si>
    <t>0927-6505</t>
  </si>
  <si>
    <t>1873-2852</t>
  </si>
  <si>
    <t>ASTROPART PHYS</t>
  </si>
  <si>
    <t>Astropart Phys.</t>
  </si>
  <si>
    <t>10.1016/j.astropartphys.2003.08.002</t>
  </si>
  <si>
    <t>Astronomy &amp; Astrophysics; Physics, Particles &amp; Fields</t>
  </si>
  <si>
    <t>Astronomy &amp; Astrophysics; Physics</t>
  </si>
  <si>
    <t>771GG</t>
  </si>
  <si>
    <t>WOS:000188776800008</t>
  </si>
  <si>
    <t>McMahon, CR; Bradshaw, CJA</t>
  </si>
  <si>
    <t>Harem choice and breeding experience of female southern elephant seals influence offspring survival</t>
  </si>
  <si>
    <t>BEHAVIORAL ECOLOGY AND SOCIOBIOLOGY</t>
  </si>
  <si>
    <t>reproductive success; Mirounga leonina; pup survival; harem size; harem density</t>
  </si>
  <si>
    <t>RED-WINGED BLACKBIRDS; MIROUNGA-LEONINA; REPRODUCTIVE-PERFORMANCE; GREY SEALS; LACTATION PERFORMANCE; WEANING MASS; AGE; SUCCESS; HARASSMENT; GROWTH</t>
  </si>
  <si>
    <t>Female mammals can increase their lifetime fitness through modification of investment potential and by providing better rearing environments with improved breeding experience. We examined the relationships between reproductive fitness and the behavioural decisions that female southern elephant seals (Mirounga leonina) made during the breeding season. We examined whether mother age and breeding experience influenced reproductive success (measured as 1st-year survival probability), and whether there was a change in the choice of harem size with increasing age. Pups produced by young mothers had lower 1st-year survival probability than pups produced by older mothers. A significant increase in mean female mass with age required an analysis of both these effects on offspring survival. There was a significant positive effect of both female age and mass, and the interaction between the two, on 1st-year pup survival. The proportion of young mothers (&lt;5 years old) decreased and the proportion of older mothers (&gt;6 years old) increased with increasing harem size (harems surveyed from 1997 to 2001). Females chose larger harems in which to breed as they aged. Females demonstrated fidelity to breeding areas among successive breeding seasons, with older females displaying greater breeding-site fidelity than younger females. The mean number of previous breeding attempts per female within a harem (breeding experience) increased significantly with increasing harem size. Breeding females returned to breed later in the breeding season as they aged-we hypothesize that young, subordinate females gain a priority advantage by returning earlier. These results lend support to the hypothesis that there are fitness advantages, in terms of offspring survival, that are conferred to females that breed in successively larger harems with age. Potential mechanisms that select for females to improve their breeding conditions include improved mate selection and the avoidance of conspecific harassment in harems.</t>
  </si>
  <si>
    <t>Univ Tasmania, Sch Zool, Antarctic Wildlife Res Unit, Hobart, Tas 7001, Australia; Australian Antarctic Div, Kingston, Tas 7050, Australia</t>
  </si>
  <si>
    <t>Univ Tasmania, Sch Zool, Antarctic Wildlife Res Unit, Private Bag 05, Hobart, Tas 7001, Australia.</t>
  </si>
  <si>
    <t>corey.bradshaw@utas.edu.au</t>
  </si>
  <si>
    <t>Bradshaw, Corey J. A./A-1311-2008; McMahon, Clive R/D-5713-2013</t>
  </si>
  <si>
    <t>Bradshaw, Corey J. A./0000-0002-5328-7741; McMahon, Clive R/0000-0001-5241-8917</t>
  </si>
  <si>
    <t>0340-5443</t>
  </si>
  <si>
    <t>1432-0762</t>
  </si>
  <si>
    <t>BEHAV ECOL SOCIOBIOL</t>
  </si>
  <si>
    <t>Behav. Ecol. Sociobiol.</t>
  </si>
  <si>
    <t>10.1007/s00265-003-0721-1</t>
  </si>
  <si>
    <t>Behavioral Sciences; Ecology; Zoology</t>
  </si>
  <si>
    <t>Behavioral Sciences; Environmental Sciences &amp; Ecology; Zoology</t>
  </si>
  <si>
    <t>766PF</t>
  </si>
  <si>
    <t>WOS:000188384200005</t>
  </si>
  <si>
    <t>Kjeld, M; Alfredsson, A; Olafsson, Ö; Tryland, M; Christensen, I; Stuen, S; Arnason, A</t>
  </si>
  <si>
    <t>Changes in blood testosterone and progesterone concentrations of the North Atlantic minke whale (Balaenoptera acutorostrata) during the feeding season</t>
  </si>
  <si>
    <t>CANADIAN JOURNAL OF FISHERIES AND AQUATIC SCIENCES</t>
  </si>
  <si>
    <t>GONADOTROPINS; SERUM</t>
  </si>
  <si>
    <t>An opportunity to study seasonal changes of sex hormones in the North Atlantic minke whale (common minke whale, Balaenoptera acutorostrata) arose when we obtained access to fresh postmortem blood samples from 104 females and 83 males. The whales were caught in the North Atlantic during May-September 1992-1995. Serum progesterone (P) and testosterone (T) concentrations were measured and compared with anatomical data. The frequency distribution of female serum P values showed two clusters, one consisting mainly of immature animals and the second of pregnant ones, with mean serum values of about 0.49 +/- 0.04 (SE) and 44.2 +/- 2.84 nmol.L-1, respectively. The frequency distribution of male serum T did not show any group-specific distribution during the hunting season. The mean serum T value for the males was 0.63 +/- 0.13 nmol.L-1. Contrary to earlier reports on the Antarctic minke whale (Balaenoptera bonaerensis), serum T values rose during the hunting season in mature males (p &lt; 0.0001). Serum P values in immature females increased during the season (p = 0.015). This increase agrees with the predominantly annual reproduction cycle of minke whales. Blood sex hormone measurements seem to be useful for detecting cyclic changes and pregnancy of minke whales.</t>
  </si>
  <si>
    <t>Univ Hosp, Landspitalinn, Dept Clin Chem, IS-101 Reykjavik, Iceland; Univ Hosp, Stat Unit, IS-101 Reykjavik, Iceland; Norwegian Sch Vet Sci, Dept Arctic Vet Med, N-9292 Tromso, Norway; Inst Marine Res, Marine Resources Ctr, N-5024 Bergen, Norway; Norwegian Sch Vet Sci, Dept Sheep &amp; Goat Res, N-4325 Sandnes, Norway; Blood Bank, IS-101 Reykjavik, Iceland</t>
  </si>
  <si>
    <t>Landspitali National University Hospital; Landspitali National University Hospital; Norwegian University of Life Sciences; Institute of Marine Research - Norway; Norwegian University of Life Sciences</t>
  </si>
  <si>
    <t>Univ Hosp, Landspitalinn, Dept Clin Chem, IS-101 Reykjavik, Iceland.</t>
  </si>
  <si>
    <t>matthias@landspitali.is</t>
  </si>
  <si>
    <t>CANADIAN SCIENCE PUBLISHING</t>
  </si>
  <si>
    <t>OTTAWA</t>
  </si>
  <si>
    <t>65 AURIGA DR, SUITE 203, OTTAWA, ON K2E 7W6, CANADA</t>
  </si>
  <si>
    <t>0706-652X</t>
  </si>
  <si>
    <t>1205-7533</t>
  </si>
  <si>
    <t>CAN J FISH AQUAT SCI</t>
  </si>
  <si>
    <t>Can. J. Fish. Aquat. Sci.</t>
  </si>
  <si>
    <t>10.1139/F03-159</t>
  </si>
  <si>
    <t>Fisheries; Marine &amp; Freshwater Biology</t>
  </si>
  <si>
    <t>810MV</t>
  </si>
  <si>
    <t>WOS:000220709300009</t>
  </si>
  <si>
    <t>Lourey, MJ; Trull, TW; Tilbrook, B</t>
  </si>
  <si>
    <t>Sensitivity of δ13C of Southern Ocean suspended and sinking organic matter to temperature, nutrient utilization, and atmospheric CO2</t>
  </si>
  <si>
    <t>DEEP-SEA RESEARCH PART I-OCEANOGRAPHIC RESEARCH PAPERS</t>
  </si>
  <si>
    <t>carbon isotope ratio; organic matter; sediment traps; palaeoceanography; subantarctic zone; polar frontal zone; Southern Ocean; Australia</t>
  </si>
  <si>
    <t>CARBON-ISOTOPE FRACTIONATION; PLANKTONIC COMMUNITY STRUCTURE; SURFACE-WATER; VERTICAL FLUX; GROWTH-RATE; PHYTOPLANKTON GROWTH; SEASONAL EVOLUTION; ANTARCTIC OCEAN; PARTICLE FLUXES; MARINE PLANKTON</t>
  </si>
  <si>
    <t>The carbon isotopic composition of organic matter (delta(13)C(org)) was measured for particles suspended in surface waters (from six north-south transects across the subantarctic (SAZ) and polar frontal zones (PFZ) of the Southern Ocean south of Australia between September 1997 and March 1998), and obtained from sediment traps deployed during the same period at 1060, 2050 and 3850 m depth in the SAZ (47degreesS), 3080 m under the Subantarctic Front (51degreesS) and 830 and 1580 m in the PFZ (54degreesS). We examined whether spatial and temporal patterns of particulate delta(13)C(org) at the surface were preserved at depth, and also investigated the connection between the dissolved molecular CO, concentration ([CO2(aq)]) and gamma(13)C(org) in the SAZ and PFZ, including the relative importance of temperature and biological activity in controlling this relationship. delta(13)C(org) of surface-water organic matter was up to 4.5parts per thousand higher in the SAZ than the PFZ and underwent a seasonal increase of similar to2.5parts per thousand (from similar to -25.5parts per thousand to similar to -23parts per thousand) in the SAZ and similar to 1.5 (from similar to -26.5parts per thousand to similar to -25%) in the PFZ. These spatial and temporal variations in delta(13)C(org) are well correlated with variations in the [CO2(aq)]. delta(13)C(org) of material collected in deep-water sediment traps was also higher in the SAZ (similar to -22parts per thousand) than PFZ (similar to -24.5parts per thousand), with some variability but no clear seasonal change in either region. The delta(13)C(org) of organic matter reaching deep-water sediment traps (&gt; 830 m) in the spring was higher than at the surface by similar to4parts per thousand in the SAZ and similar to2parts per thousand in the PFZ, suggesting that preferential export of some components of surface organic matter may occur or that the extent of remineralisation of sinking materials varies seasonally. However, the seasonally averaged offset between delta(13)C(org) at the surface and delta(13)C(org) in the sediment traps was similar in the two regions (1.5parts per thousand and 1.8parts per thousand in the SAZ and PFZ, respectively). The largest differences in delta(13)C(org) encountered here (i.e. between the SAZ and the PFZ) appear to result from temperature driven differences in CO2 Solubility rather than differences in biological production. We applied these results to quantify the relative contributions of temperature, nutrient utilization, and atmospheric equilibration to glacial-interglacial delta(13)C(org) changes recorded in sediments. Cooler glacial temperatures are insufficient to maintain the high [CO2(aq)] necessary to explain observed low glacial delta(13)C(org). Upwelling of deep-waters can sufficiently further increase [CO2(aq)], provided extensive sea-ice cover restricts air-sea equilibration, and provided nutrient utilisation is not much larger than current values. Lowered phytoplankton growth rates could also partially contribute. Reconciling these results with high glacial delta(15)N observations suggest that some process must have affected delta(13)C(org) and delta(15)N differentially, possibly the influence of increased glacial iron availability on nitrogen metabolism. (C) 2003 Elsevier Ltd. All rights reserved.</t>
  </si>
  <si>
    <t>Univ Tasmania, Inst Antarctic &amp; So Ocean Studies, Hobart, Tas 7001, Australia; Univ Tasmania, CRC, Hobart, Tas 7001, Australia; CSIRO, Marine Res, Hobart, Tas 7001, Australia</t>
  </si>
  <si>
    <t>University of Tasmania; University of Tasmania; Commonwealth Scientific &amp; Industrial Research Organisation (CSIRO)</t>
  </si>
  <si>
    <t>CSIRO, Marine Res, Private Bag 5, Wembley, WA 6913, Australia.</t>
  </si>
  <si>
    <t>martin.lourey@csiro.au</t>
  </si>
  <si>
    <t>Tilbrook, Bronte/W-4007-2019; Trull, Tom W/B-7028-2014</t>
  </si>
  <si>
    <t>Tilbrook, Bronte/0000-0001-9385-3827;</t>
  </si>
  <si>
    <t>0967-0637</t>
  </si>
  <si>
    <t>1879-0119</t>
  </si>
  <si>
    <t>DEEP-SEA RES PT I</t>
  </si>
  <si>
    <t>Deep-Sea Res. Part I-Oceanogr. Res. Pap.</t>
  </si>
  <si>
    <t>10.1016/j.dsr.2003.10.002</t>
  </si>
  <si>
    <t>814DQ</t>
  </si>
  <si>
    <t>WOS:000220955800008</t>
  </si>
  <si>
    <t>Pilskaln, CH; Manganini, SJ; Trull, TW; Armand, L; Howard, W; Asper, VL; Massom, R</t>
  </si>
  <si>
    <t>Geochemical particle fluxes in the Southern Indian Ocean seasonal ice zone: Prydz Bay region, East Antarctica</t>
  </si>
  <si>
    <t>biogeochemical cycles; carbon cycle; particulate flux; sediment traps; Antarctic Zone</t>
  </si>
  <si>
    <t>PARTICULATE ORGANIC-CARBON; MARINE SNOW; BIOGENIC SILICA; ROSS SEA; PACIFIC SECTOR; MONTEREY BAY; ARAGONITE PRODUCTION; ISOTOPIC COMPOSITION; IRON AVAILABILITY; EXPORT PRODUCTION</t>
  </si>
  <si>
    <t>Time-series sediment traps were deployed between December 1998 and January 2000 and from March 2000 to February 2001 at two offshore Prydz Bay sites within the seasonal ice zone (SIZ) of the Southern Indian Ocean located between 62-63degreesS and 73-76degreesE to quantify seasonal biogeochemical particle fluxes. Samples were obtained from traps placed at 1400, 2400, and 3400 m during the first deployment year (PZB-1) and from 3300 m in the second deployment year (PZB-2). All geochemical export fluxes were highly seasonal with primary peaks occurring during the austral summer and relatively low fluxes prevailing through the winter months. Secondary flux peaks in mid-winter and in early spring were suggestive of small-scale, sea-ice break-up events and the spring retreat of seasonal ice, respectively. Biogenic silica represented over 70% (by weight) of the collected trap material and provided an annual opal export of 18 g m(-2) to 1 km and 3-10 g m(-2) to 3 km. POC fluxes Supplied ail annual export of approximately 1 g m(-2), equal to the estimated ocean-wide average. Elevated particulate C-org/C-inorg and Si-bio/C-inorg, molar ratios indicate a productive, diatom-dominated system, although consistently small fluxes of planktonic foraminifera and pteropod shells document a heterotrophic source of carbonate to deeper waters in the SIZ. The observation of high Si-bio/C-org ratios and the delta(15)N time-series data suggest enhanced rates of diatom-POC remineralization in the upper 1000 m relative to bioSiO2. The occurrence in this region of a pronounced temperature minimum, associated with a strong pycnocline and subsurface particle maximum at 50-100 m, may represent a zone where sinking, diatom-rich particulates temporarily accumulate and POC is remineralized. (C) 2003 Elsevier Ltd. All rights reserved.</t>
  </si>
  <si>
    <t>Bigelow Lab Ocean Sci, Boothbay Harbor, ME 04575 USA; Woods Hole Oceanog Inst, Woods Hole, MA 02543 USA; Univ Tasmania, CRC, IASOS, Hobart, Tas 7001, Australia; Univ So Mississippi, Stennis Space Ctr, MS 39529 USA</t>
  </si>
  <si>
    <t>Bigelow Laboratory for Ocean Sciences; Woods Hole Oceanographic Institution; University of Tasmania; University of Southern Mississippi</t>
  </si>
  <si>
    <t>Bigelow Lab Ocean Sci, 108 McKnown Pt Rd, Boothbay Harbor, ME 04575 USA.</t>
  </si>
  <si>
    <t>cpilskaln@bigelow.org</t>
  </si>
  <si>
    <t>Trull, Tom W/B-7028-2014; Armand, Leanne K/C-9004-2009</t>
  </si>
  <si>
    <t>Massom, Robert/0000-0003-1533-5084; Armand, Leanne/0000-0003-3995-308X</t>
  </si>
  <si>
    <t>10.1016/j.dsr.2003.10.010</t>
  </si>
  <si>
    <t>WOS:000220955800009</t>
  </si>
  <si>
    <t>Yuan, XJ; Martinson, DG; Dong, ZQ</t>
  </si>
  <si>
    <t>Upper ocean thermohaline structure and its temporal variability in the southeast Indian Ocean</t>
  </si>
  <si>
    <t>oceanic fronts; polar front; mixed layer; T-min layer; interannual variability; atmospheric forcing; the Southeast Indian Ocean (35-70 degrees S,70-110 degrees E)</t>
  </si>
  <si>
    <t>SALINITY SCALE 1978; SEA-ICE; WATER MASSES; TEMPERATURE; CIRCULATION; SECTION; FRONTS; TASMANIA</t>
  </si>
  <si>
    <t>We examine the upper ocean thermohaline structure in the southeast Indian Ocean and its temporal variability based on XBT/XCTD observations from four cruises across the Southern Ocean from Fremantle, Australia to Prydz Bay, Antarctica. The transects were occupied in March 1998, November 1998, March 2000 and March 2002. Three major fronts-the subtropical front, subantarctic front and polar front-are clearly identified from our surveys and compared with earlier studies. Particularly, two polar fronts, separated by a few degrees of latitude, appear southeast the Kerguelen Plateau. The primary polar front is characterized by a strong horizontal thermal gradient extending deep in the water column, while the secondary polar front is identified by the 2degreesC isotherm at T-min depth and has a relatively shallow frontal expression. Dynamic height across the Antarctic Circumpolar Current (ACC) was calculated for the transects in 2000 and 2002. With a negligible yearly variation in the total transport across the ACC, the higher sample density in 2002 reveals more detailed structure of the ACC: two jets associated with the SAF and primary polar front are embedded within the broad ACC. We find a strong temporal variation in the upper ocean thermal structure in the polar ocean southeast the Kerguelen Plateau. The depths of the mixed layer and Tmin layer increase over time. The mixed layer temperature decreases while the T-min temperature increases during the same period. In addition, we see an increase from 1998 to 2002 in the length of the ice-free period prior to each XBT/XCTD sampling and surface wind forcing, calculated as the friction velocity cubed during the ice-free period. Our analysis suggests that the longer the ocean is exposed to the atmosphere and the stronger the wind stirring, the more enhanced is the turbulent mixing. This results in a greater mixed layer depth and more entrainment of colder water from the T-min layer to the mixed layer. This surface forcing also enhances internal diffusive processes that mix the T-min water with the warmer waters above and below the T-min layer. The surf ace forcing is apparently dominant in determining the upper ocean thermal structure in this polar region. (C) 2003 Elsevier Ltd. All rights reserved.</t>
  </si>
  <si>
    <t>Columbia Univ, Lamont Doherty Earth Observ, Palisades, NY 10964 USA; Polar Res Inst China, Shanghai, Peoples R China</t>
  </si>
  <si>
    <t>Columbia University; Polar Research Institute of China</t>
  </si>
  <si>
    <t>Columbia Univ, Lamont Doherty Earth Observ, POB 1000,61 Route 9W, Palisades, NY 10964 USA.</t>
  </si>
  <si>
    <t>xyuan@ldeo.columbia.edu</t>
  </si>
  <si>
    <t>Yuan, Xiaojun/AAI-7770-2020</t>
  </si>
  <si>
    <t>Yuan, Xiaojun/0000-0002-6530-1619</t>
  </si>
  <si>
    <t>10.1016/j.dsr.2003.10.005</t>
  </si>
  <si>
    <t>WOS:000220955800010</t>
  </si>
  <si>
    <t>Mori, Y; Boyd, IL</t>
  </si>
  <si>
    <t>The behavioral basis for nonlinear functional responses and optimal foraging in antarctic fur seals</t>
  </si>
  <si>
    <t>Antarctic fur seals; Arctocephalus gazella; behavioral index; food availability; functional response; optimal foraging; patch use; rate maximization; South Georgia</t>
  </si>
  <si>
    <t>EUPHAUSIA-SUPERBA; INTERANNUAL VARIABILITY; MARINE PREDATORS; TEMPORAL SCALE; PATCH USE; TIME; KRILL; DEPLETION; GROWTH; RISK</t>
  </si>
  <si>
    <t>This study investigated the degree to which the behavior of a predator in the marine environment can be used to indicate the availability of prey. It examined this in Antarctic fur seals (Arctocephalus gazella) feeding on krill, with a view to understanding how behavioral choices could lead to a nonlinear functional response. The study showed how fur seals adjusted their time budgets to maximize the mean rate of energy intake in response to varying prey abundance. The behavioral indicator of prey abundance was the amount of time spent by fur seals at the bottom of dives after adjustment for dive depth. This indicator was well correlated with independent measures of prey abundance. The indicator was calibrated in terms of net rate of energy intake from information about energy expenditures in Antarctic fur seals and was used within the framework of optimal foraging theory to examine how female fur seals organized their foraging activity within and between bouts. Foraging in Antarctic fur seals conformed to many of the predictions from energy rate-maximizing behavior. For example, the apparent net rate of energy intake by fur seals declined with time spent in a patch, and the rate of energy intake on leaving a patch declined as apparent food availability in the environment declined. In addition, the time spent in patches increased as apparent food availability declined. Antarctic fur seals were able to adjust their behavior to track highly variable prey distributions and densities. The simple decision about when to leave a patch in relation to current environmental prey availability appears to be responsible for allowing fur seals to maintain saturation of the foraging rate as food density declines.</t>
  </si>
  <si>
    <t>Univ St Andrews, Gatty Marine Lab, Sea Mammal Res Unit, St Andrews KY16 8LB, Fife, Scotland; British Antarctic Survey, NERC, Cambridge CB3 0ET, England</t>
  </si>
  <si>
    <t>University of St Andrews; UK Research &amp; Innovation (UKRI); Natural Environment Research Council (NERC); NERC British Antarctic Survey</t>
  </si>
  <si>
    <t>Univ St Andrews, Gatty Marine Lab, Sea Mammal Res Unit, St Andrews KY16 8LB, Fife, Scotland.</t>
  </si>
  <si>
    <t>moripe@ntu.ac.jp</t>
  </si>
  <si>
    <t>0012-9658</t>
  </si>
  <si>
    <t>1939-9170</t>
  </si>
  <si>
    <t>Ecology</t>
  </si>
  <si>
    <t>10.1890/03-4005</t>
  </si>
  <si>
    <t>801PV</t>
  </si>
  <si>
    <t>WOS:000220108700011</t>
  </si>
  <si>
    <t>García-García, A; García-Gil, S; Vilas, F</t>
  </si>
  <si>
    <t>Echo characters and recent sedimentary processes as indicated by high-resolution sub-bottom profiling in Ria de Vigo (NW Spain)</t>
  </si>
  <si>
    <t>GEO-MARINE LETTERS</t>
  </si>
  <si>
    <t>ANTARCTIC CIRCUMPOLAR CURRENT; SEA-FLOOR; CONTINENTAL-MARGIN; QUATERNARY; GULF; BAY; KHZ; SLOPE; OCEAN; SHELF</t>
  </si>
  <si>
    <t>A detailed study of high-resolution (3.5 kHz) sub-bottom profiles reveals the presence of 17 different types of echo character (acoustic facies) in the recent sedimentary infill of the shallow Ria de Vigo (NW Spain). By correlating the echo character with surface sediments, we have been able to infer the recent sediment dynamics in the ria seafloor, 60.5% being related to modern depositional processes. In the outer ria area, where wave activity is strong, erosive and high-energy depositional processes dominate, whereas in the protected area of the inner ria the majority of recent processes are low-energy depositional, progradational and/or a combination of both.</t>
  </si>
  <si>
    <t>Univ Calif Santa Cruz, Dept Earth Sci, Santa Cruz, CA 95064 USA; Univ Vigo, Dept Geociencias Marinas &amp; OT, Vigo 36200, Spain</t>
  </si>
  <si>
    <t>University of California System; University of California Santa Cruz; Universidade de Vigo</t>
  </si>
  <si>
    <t>agarcia@es.ucsc.edu</t>
  </si>
  <si>
    <t>Gil, Soledad García/H-4460-2015</t>
  </si>
  <si>
    <t>Garcia-Gil, Soledad/0000-0002-8939-184X</t>
  </si>
  <si>
    <t>0276-0460</t>
  </si>
  <si>
    <t>1432-1157</t>
  </si>
  <si>
    <t>GEO-MAR LETT</t>
  </si>
  <si>
    <t>Geo-Mar. Lett.</t>
  </si>
  <si>
    <t>10.1007/s00367-003-0156-8</t>
  </si>
  <si>
    <t>769RR</t>
  </si>
  <si>
    <t>WOS:000188664000005</t>
  </si>
  <si>
    <t>Amakawa, H; Nozaki, Y; Alibo, DS; Zhang, J; Fukugawa, K; Nagai, H</t>
  </si>
  <si>
    <t>Neodymium isotopic variations in Northwest Pacific waters</t>
  </si>
  <si>
    <t>RARE-EARTH-ELEMENTS; EASTERN INDIAN-OCEAN; ABYSSAL CIRCULATION; SURFACE WATERS; ND; SEAWATER; YTTRIUM; RATIOS; ND-143/ND-144; SR-87/SR-86</t>
  </si>
  <si>
    <t>Four vertical profiles of the concentration and isotopic composition of Nd in seawater were obtained in the western North Pacific. Two profiles from the Kuroshio Current regime showed congruently that although the Nd concentration increases gradually with depth, its isotopic composition varies significantly with depth depending upon the water mass occupying the water column. The high-salinity Kuroshio waters originating from the North Pacific Tropical Water (NPTW) carry the least radiogenic Nd (epsilon(Nd) = -7.4 to -8.7) to this region at similar to250 m from the western margin continental shelves, most likely from the East China Sea. The Nd isotopic compositions in the North Pacific Intermediate Water (NPIW) that occurs at 600 to 1000 m in the subtropical region are fairly uniform at epsilon(Nd) = -3.7. The profile data from the similar to38degrees to 40degreesN Kuroshio/Oyashio mixed water region off Sanriku of Honshu, Japan, also suggest that the newest NPIW with epsilon(Nd) = -3.2 is formed there by the mixing of various source waters, and the radiogenic component of Nd is derived mainly from the Oyashio waters. In the Pacific Deep Water (PDW) below similar to1000 m, the Nd isotopic composition is neither vertically nor horizontally homogeneous, suggesting that it serves as a useful tracer for sluggish deep water circulation as well. Two profiles from the Izu-Ogasawara Trench showed a minimum epsilon(Nd) value at 2000 m, suggesting that there exists a horizontal advective flow in the vicinity of Honshu, Japan. There is some evidence from other chemical properties to support this observation. The waters below 4000 m including those within the trench in the subtropical region have epsilon(Nd) values of around -5, suggesting that the deep waters are fed from the south along the western boundary, ultimately from the Antarctic Bottom Water (AABW) in the South Pacific. This extends up to similar to40degreesN along the Japanese Islands. In the subarctic region (&gt;similar to42degreesN), the waters have more radiogenic Nd with epsilon(Nd) &gt; -4.0 throughout the water column, presumably due to the supply of Nd by weathering in such igneous provinces as the Kuril-Kamchatska-Aleutian Island chain. The lateral inhomogeneity of the Nd isotopic composition in PDW suggests that there may be different circulation and mixing regimes in the North Pacific Basin. Copyright (C) 2004 Elsevier Ltd</t>
  </si>
  <si>
    <t>Univ Tokyo, Ocean Res Inst, Nakano Ku, Tokyo 1648639, Japan; Nihon Univ, Coll Humanities &amp; Sci, Setagaya Ku, Tokyo 1568550, Japan</t>
  </si>
  <si>
    <t>University of Tokyo; Nihon University</t>
  </si>
  <si>
    <t>Tokyo Metropolitan Univ, Dept Chem, Hachioji, Tokyo 1920397, Japan.</t>
  </si>
  <si>
    <t>amakawa@comp.metro-u.ac.jp</t>
  </si>
  <si>
    <t>10.1016/S0016-7037(03)00501-5</t>
  </si>
  <si>
    <t>773DM</t>
  </si>
  <si>
    <t>WOS:000188882500003</t>
  </si>
  <si>
    <t>Lee, MR; Bland, PA</t>
  </si>
  <si>
    <t>Mechanisms of weathering of meteorites recovered from hot and cold deserts and the formation of phyllosilicates</t>
  </si>
  <si>
    <t>CM CARBONACEOUS CHONDRITES; WOLF CREEK METEORITE; ANTARCTIC METEORITES; AQUEOUS ALTERATION; STONE METEORITES; FE; MINERALOGY; PRODUCTS; POROSITY; COLLECTION</t>
  </si>
  <si>
    <t>Petrographic, mineralogical and chemical analysis of naturally weathered equilibrated ordinary chondrites collected from 'hot' deserts and Antarctica has revealed striking similarities and also pronounced differences in weathering between the two environments. Terrestrial weathering in all meteorites studied is dominated by oxidation and hydration of Fe,Ni metal, producing Fe-oxides and oxyhydroxides that have partially replaced the metal grains and have also occluded primary intergranular pores to form veins. Troilite weathers readily in 'hot' desert environments but undergoes very little alteration under Antarctic conditions. Most of the primary porosity of ordinary chondrites has been occluded by the time that similar to15 to 25% of the initial Fe-0 and Fe2+ has been oxidised to Fe3+ in both environments. Results from modelling the volume changes upon alteration of primary minerals to a range of weathering products demonstrates that the primary porosity of most meteorites is sufficient to accommodate weathering products. Dilation of primary pores and brecciation, which has been observed in parts of some meteorites, will only occur if the meteorite is especially metal-rich, or has a low primary porosity. These weathering products are absent from recent falls but have formed in a fall after similar to100 yr of museum storage. Cl-bearing akaganeite and hibbingite are common weathering products in Antarctic finds but occur in abundance in only one 'hot' desert meteorite, Daraj 014. The majority of Fe-rich weathering products in meteorites from both environments contain low, but variable concentrations of Si, Mg and Ca. In most meteorites a proportion of these elements are inferred to be present as a very finely crystalline mineral with a similar to1.0-nm lattice fringe spacing; where seen within intragranular fractures this mineral has a topotactic relationship with olivine and orthopyroxene. In the heavily-weathered Antarctic finds ALHA 78045 and 77002, Si is concentrated in cronstedtite, a Fe-rich phyllosilicate. An unidentified hydrous Si-Fe-Ni-Mg mineral or gel has also partially replaced taenite in ALHA 78045. In addition to Fe-rich weathering products, 'hot' desert meteorites contain sulphates, Ca-carbonate and silica, whereas such minerals are largely absent from Antarctic finds. The abundance of silicate weathering products in Antarctic meteorites is unexpected and indicates that olivine and pyroxene undergo significant chemical weathering in these environments. As preterrestrial cronstedtite is abundant in CM2 carbonaceous chondrites, the Antarctic environment may be a powerful analog for aqueous alteration in the asteroidal parent bodies of primitive meteorites. Copyright (C) 2004 Elsevier Ltd.</t>
  </si>
  <si>
    <t>Univ Glasgow, Div Earth Sci, Glasgow G12 8QQ, Lanark, Scotland; Univ London Imperial Coll Sci &amp; Technol, Dept Earth Sci &amp; Engn, London SW7 2AZ, England</t>
  </si>
  <si>
    <t>University of Glasgow; Imperial College London</t>
  </si>
  <si>
    <t>Lee, MR (corresponding author), Univ Glasgow, Div Earth Sci, Lilybank Gardens, Glasgow G12 8QQ, Lanark, Scotland.</t>
  </si>
  <si>
    <t>m.lee@earthsci.gla.ac.uk</t>
  </si>
  <si>
    <t>Lee, Martin/Q-1040-2019; Bland, Phil/M-9392-2018</t>
  </si>
  <si>
    <t>Lee, Martin/0000-0002-6004-3622; Bland, Phil/0000-0002-4681-7898</t>
  </si>
  <si>
    <t>Natural Environment Research Council [NER/A/S/2003/00346] Funding Source: researchfish</t>
  </si>
  <si>
    <t>10.1016/S0016-7037(03)00486-1</t>
  </si>
  <si>
    <t>WOS:000188882500016</t>
  </si>
  <si>
    <t>Evans, HF; Westerhold, T; Channell, JET</t>
  </si>
  <si>
    <t>ODP Site 1092: revised composite depth section has implications for Upper Miocene 'cryptochrons'</t>
  </si>
  <si>
    <t>GEOPHYSICAL JOURNAL INTERNATIONAL</t>
  </si>
  <si>
    <t>cryptochrons; magnetostratigraphy; miocene; South Atlantic</t>
  </si>
  <si>
    <t>POLARITY TIMESCALE; REVERSALS; ATLANTIC</t>
  </si>
  <si>
    <t>An Upper Miocene magnetic polarity stratigraphy has been developed for the C3r to C5ABn interval of ODP site 1092 from the sub-Antarctic South Atlantic (Evans &amp; Channell 2003). New data from X-ray fluorescence (XRF) scanning of half cores has led to development of a revised composite depth section for the site. This has implications for the magnetostratigraphic interpretation. Using the shipboard-derived composite section, four subchrons were identified within the normal polarity zone correlative to C5n.2n. The revised composite section results in subchrons C5n.2n-2 and C5n.2n-3 of Evans &amp; Channell (2003) becoming a single subchron recorded in two overlapping cores. The revised number of polarity subchrons within C5n.2n is now three, rather than four, which is consistent with the number of 'cryptochrons' recognized in marine oceanic anomaly data.</t>
  </si>
  <si>
    <t>Univ Florida, Dept Geol Sci, Gainesville, FL 32611 USA; Univ Bremen, Fachbereich Geowissensch, D-28334 Bremen, Germany</t>
  </si>
  <si>
    <t>State University System of Florida; University of Florida; University of Bremen</t>
  </si>
  <si>
    <t>Univ Florida, Dept Geol Sci, POB 112120, Gainesville, FL 32611 USA.</t>
  </si>
  <si>
    <t>geohelen@ufl.edu</t>
  </si>
  <si>
    <t>Westerhold, Thomas/D-4581-2011</t>
  </si>
  <si>
    <t>Westerhold, Thomas/0000-0001-8151-4684</t>
  </si>
  <si>
    <t>0956-540X</t>
  </si>
  <si>
    <t>1365-246X</t>
  </si>
  <si>
    <t>GEOPHYS J INT</t>
  </si>
  <si>
    <t>Geophys. J. Int.</t>
  </si>
  <si>
    <t>10.1111/j.1365-246X.2003.02189.x</t>
  </si>
  <si>
    <t>765JH</t>
  </si>
  <si>
    <t>WOS:000188263000003</t>
  </si>
  <si>
    <t>Diekmann, B; Kuhn, G; Gersonde, R; Mackensen, A</t>
  </si>
  <si>
    <t>Middle Eocene to early Miocene environmental changes in the sub-Antarctic Southern Ocean: evidence from biogenic and terrigenous depositional patterns at ODP Site 1090</t>
  </si>
  <si>
    <t>Southern Ocean; palacoclimate; eocene-oligocene; ocean circulation; opal pulse; terrigenous sediment</t>
  </si>
  <si>
    <t>MATUYAMA DIATOM MAXIMUM; CARBON ISOTOPES; SW AFRICA; OLIGOCENE; CLIMATE; ATLANTIC; HISTORY; CIRCULATION; EVOLUTION; RECORD</t>
  </si>
  <si>
    <t>During Leg 177 of the Ocean Drilling Program (ODP), a well-preserved middle Eocene to lower Miocene sediment record was recovered at Site 1090 on the Agulhas Ridge in the Atlantic sector of the Southern Ocean. This new sediment record shows evidence of a hitherto unknown late Eocene opal pulse. Lithological variations, compositional data, mass-accumulation rates of biogenic and lithogenic sediment constituents, gain-size distributions, geochemistry, and clay mineralogy are used to gain insights into mid-Cenozoic environmental changes and to explore the circumstances of the late Eocene opal pulse in terms of reorganizations in ocean circulation. The base of the section is composed of middle Eocene nannofossil oozes mixed with red clays enriched in authigenic clinoptilolite and smectite, deposited at low sedimentation rates (less than or equal to2 cm ka(-1)). It indicates reduced terrigenous sediment input and moderate biological productivity during this preglacial warm climatic stage. The basal strata are overlain by an extended succession (100 m, 4 cm ka(-1)) of biosiliceous oozes and muds, comprising the upper middle Eocene, the entire late Eocene, and the lowermost early Oligocene. The opal pulse occurred between 37.5 and 33.5 Ma and documents the development of upwelling cells along topographic highs, and the utilization of a marine nutrient- and silica reservoir established during the pre-late Eocene through enhanced submarine hydrothermal activity and the introduction of terrigenous solutions from chemical weathering on adjacent continents. This palaeoceanographic overturn probably was initiated through the onset of increased meridional ocean circulation, caused by the diversion of the Indian equatorial current to the south. The opal pulse was accompanied by increased influxes of terrigenous detritus from southern African sources (illite), mediated by enhanced ocean particle advection in response to modified ocean circulation. The opal pulse ended because of frontal shifts to the south around the Eocene/Oligocene boundary, possibly in response to the opening of the Drake Passage and the incipient establishment of the Antarctic Circumpolar Current. Condensed sediments and a hiatus within the early Oligocene part of the section possibly point to an invigoration of the deep-reaching Antarctic Circumpolar Current. The mid-Oligocene to lower Miocene section on long time scale exhibits less pronounced lithologicall variations than the older section and points to relatively stable palaeoceanographic conditions after the dramatic changes in the late Eocene to early Oligocene. (C) 2003 Elsevier B.V. All rights reserved.</t>
  </si>
  <si>
    <t>Alfred Wegener Inst Polar &amp; Marine Res, Res Unit Potsdam, D-14473 Potsdam, Germany; Alfred Wegener Inst Polar &amp; Marine Res, D-27515 Bremerhaven, Germany</t>
  </si>
  <si>
    <t>Helmholtz Association; Alfred Wegener Institute, Helmholtz Centre for Polar &amp; Marine Research; Helmholtz Association; Alfred Wegener Institute, Helmholtz Centre for Polar &amp; Marine Research</t>
  </si>
  <si>
    <t>Alfred Wegener Inst Polar &amp; Marine Res, Res Unit Potsdam, Telegrafenberg A43, D-14473 Potsdam, Germany.</t>
  </si>
  <si>
    <t>bdiekmann@awi-potsdam.de</t>
  </si>
  <si>
    <t>; Mackensen, Andreas/J-8600-2013</t>
  </si>
  <si>
    <t>Diekmann, Bernhard/0000-0001-5129-3649; Mackensen, Andreas/0000-0002-5024-4455; Kuhn, Gerhard/0000-0001-6069-7485</t>
  </si>
  <si>
    <t>1872-6364</t>
  </si>
  <si>
    <t>10.1016/j.gloplacha.2003.09.001</t>
  </si>
  <si>
    <t>762JC</t>
  </si>
  <si>
    <t>WOS:000187967500006</t>
  </si>
  <si>
    <t>Demer, DA; Conti, SG</t>
  </si>
  <si>
    <t>Validation of the stochastic distorted-wave Born approximation model with broad bandwidth total target strength measurements of Antarctic krill (vol 60, pg 625, 2003)</t>
  </si>
  <si>
    <t>ICES JOURNAL OF MARINE SCIENCE</t>
  </si>
  <si>
    <t>, David/ABC-8990-2022</t>
  </si>
  <si>
    <t>, David/0000-0001-5083-8854</t>
  </si>
  <si>
    <t>ACADEMIC PRESS LTD ELSEVIER SCIENCE LTD</t>
  </si>
  <si>
    <t>24-28 OVAL RD, LONDON NW1 7DX, ENGLAND</t>
  </si>
  <si>
    <t>1054-3139</t>
  </si>
  <si>
    <t>ICES J MAR SCI</t>
  </si>
  <si>
    <t>ICES J. Mar. Sci.</t>
  </si>
  <si>
    <t>10.1016/j.icesjms.2003.12.002</t>
  </si>
  <si>
    <t>Fisheries; Marine &amp; Freshwater Biology; Oceanography</t>
  </si>
  <si>
    <t>771XY</t>
  </si>
  <si>
    <t>WOS:000188812400015</t>
  </si>
  <si>
    <t>Berque, J; Lubin, D; Somerville, RCJ</t>
  </si>
  <si>
    <t>Infrared radiative properties of the Antarctic plateau from AVHRR data. Part I: Effect of the snow surface</t>
  </si>
  <si>
    <t>JOURNAL OF APPLIED METEOROLOGY</t>
  </si>
  <si>
    <t>GREENLAND ICE-SHEET; CLOUD PROPERTIES; BIDIRECTIONAL REFLECTANCE; OPTICAL-PROPERTIES; SPECTRAL ALBEDO; SINGLE-SCATTERING; EFFECTIVE RADIUS; CIRRUS CLOUDS; ABSORPTION; MODEL</t>
  </si>
  <si>
    <t>The effective scene temperature, or brightness temperature, measured in channel 3 (3.5-3.9 m m) of the Advanced Very High Resolution Radiometer (AVHRR) is shown to be sensitive, in principle, to the effective particle size of snow grains on the Antarctic plateau, over the range of snow grain sizes reported in field studies. In conjunction with a discrete ordinate method radiative transfer model that couples the polar atmosphere with a scattering and absorbing snowpack, the thermal infrared channels of the AVHRR instrument can, therefore, be used to estimate effective grain size at the snow surface over Antarctica. This is subject to uncertainties related to the modeled top-of-atmosphere bidirectional reflectance distribution function resulting from the possible presence of sastrugi and to lack of complete knowledge of snow crystal shapes and habits as they influence the scattering phase function. However, when applied to NOAA-11 and NOAA-12 AVHRR data from 1992, the snow grain effective radii of order 50 mum are retrieved, consistent with field observations, with no apparent discontinuity between two spacecraft having different viewing geometries. Retrieved snow grain effective radii are 10-20-mum larger when the snow grains are modeled as hexagonal solid columns rather than as spheres with a Henyey-Greenstein phase function. Despite the above-mentioned uncertainties, the retrievals are consistent enough that one should be able to monitor climatically significant changes in surface snow grain size due to major precipitation events. It is also shown that a realistic representation of the surface snow grain size is critical when retrieving the optical depth and effective particle radius of clouds for the optically thin clouds most frequently encountered over the Antarctic plateau.</t>
  </si>
  <si>
    <t>Berque, Joannes/G-1283-2014</t>
  </si>
  <si>
    <t>Berque, Joannes/0000-0002-3611-0813</t>
  </si>
  <si>
    <t>0894-8763</t>
  </si>
  <si>
    <t>J APPL METEOROL</t>
  </si>
  <si>
    <t>J. Appl. Meteorol.</t>
  </si>
  <si>
    <t>10.1175/1520-0450(2004)043&lt;0350:IRPOTA&gt;2.0.CO;2</t>
  </si>
  <si>
    <t>778WW</t>
  </si>
  <si>
    <t>WOS:000189265200009</t>
  </si>
  <si>
    <t>Bromwich, DH; Guo, ZC; Bai, LS; Chen, QS</t>
  </si>
  <si>
    <t>Modeled antarctic precipitation. Part I: Spatial and temporal variability</t>
  </si>
  <si>
    <t>POLAR MM5 SIMULATIONS; SURFACE MASS-BALANCE; DRONNING MAUD-LAND; SNOW ACCUMULATION; MESOSCALE MODEL; GREENLAND; TRENDS; SUBLIMATION; REANALYSIS; CLIMATE</t>
  </si>
  <si>
    <t>Surface snow accumulation is the primary mass input to the Antarctic ice sheets. As the dominant term among various components of surface snow accumulation (precipitation, sublimation/deposition, and snow drift), precipitation is of particular importance in helping to assess the mass balance of the Antarctic ice sheets and their contribution to global sea level change. The Polar MM5, a mesoscale atmospheric model based on the fifth-generation Pennsylvania State University NCAR Mesoscale Model, has been run for the period of July 1996 through June 1999 to evaluate the spatial and temporal variability of Antarctic precipitation. Drift snow effects on the redistribution of surface snow over Antarctica are also assessed with surface wind fields from Polar MM5 in this study. It is found that areas with large drift snow transport convergence and divergence are located around escarpment areas where there is considerable katabatic wind acceleration. It is also found that the drift snow transport generally diverges over most areas of East and West Antarctica with relatively small values. The use of the dynamic retrieval method (DRM) to calculate precipitation has been developed and verified for the Greenland ice sheet. The DRM is also applied to retrieve the precipitation over Antarctica from 1979 to 1999 in this study. Most major features in the spatial distribution of Antarctic accumulation are well captured by the DRM results. In comparison with predicted precipitation amounts from atmospheric analyses and reanalyses, DRM calculations capture more mesoscale features of the precipitation distribution over Antarctica. A significant upward trend of +1.3 to +1.7 mm yr(-2) for 1979-99 is found from DRM and forecast precipitation amounts for Antarctica that is consistent with results reported by other investigators and indicates that an additional 0.05 mm yr(-1) is being extracted from the global ocean and locked up in the Antarctic ice sheets. While there is good agreement in this trend among all of the datasets, the interannual variability about the trend on the continental scale is not well captured. However, on the subcontinental scale, the interannual variability about the trend is well resolved for sectors in West Antarctica and the South Atlantic. It is also noted that the precipitation trend is weakly downward over much of the continent.</t>
  </si>
  <si>
    <t>Ohio State Univ, Byrd Polar Res Ctr, Polar Meteorol Grp, Columbus, OH 43210 USA; Ohio State Univ, Dept Geog, Atmospher Sci Program, Columbus, OH 43210 USA; Ctr Ocean Land Atmosphere Studies, Calverton, MD USA</t>
  </si>
  <si>
    <t>University System of Ohio; Ohio State University; University System of Ohio; Ohio State University</t>
  </si>
  <si>
    <t>Ohio State Univ, Byrd Polar Res Ctr, Polar Meteorol Grp, 1090 Carmack Rd, Columbus, OH 43210 USA.</t>
  </si>
  <si>
    <t>bromwich@polarmet1.mps.ohio-state.edu</t>
  </si>
  <si>
    <t>Bromwich, David H/C-9225-2016</t>
  </si>
  <si>
    <t>10.1175/1520-0442(2004)017&lt;0427:MAPPIS&gt;2.0.CO;2</t>
  </si>
  <si>
    <t>772LK</t>
  </si>
  <si>
    <t>WOS:000188843200003</t>
  </si>
  <si>
    <t>Guo, ZC; Bromwich, DH; Hines, KM</t>
  </si>
  <si>
    <t>Modeled antarctic precipitation. Part II: ENSO modulation over West Antarctica</t>
  </si>
  <si>
    <t>SEA-ICE; SOUTHERN-OSCILLATION; SPLIT JET; VARIABILITY; REANALYSIS; CLIMATE; OCEAN; PRESSURE; MOISTURE; SIGNAL</t>
  </si>
  <si>
    <t>The impacts of the El Nino-Southern Oscillation (ENSO) on the Antarctic region are of special importance in evaluating the variability and change of the climate system in high southern latitudes. In this study, the ENSO signal in modeled precipitation over West Antarctica since 1979 is evaluated using forecast precipitation from several meteorological analyses and reanalyses. Additionally, a dynamical retrieval method (DRM) for precipitation is applied. Over the last two decades, the Southern Oscillation index (SOI) has an overall anticorrelation with precipitation over the West Antarctic sector bounded by 75degrees-90degreesS, 120degreesW-180degrees while it is positively correlated with precipitation over the South Atlantic sector bounded by 65degrees-75degreesS, 30degrees-60degreesW. Decadal variations are found as the relationship between the SOI and West Antarctic precipitation is stronger in the 1990s than that in the 1980s. The polar front jet stream, West Antarctic precipitation, and the SOI show a well-ordered correspondence during the 1990s as the jet zonal speed is negatively correlated to the SOI and positively correlated to West Antarctic precipitation. These relationships are weaker during the 1980s, consistent with the change in sign of the correlation between the SOI and West Antarctic precipitation. The decadal variations are apparently related to changes in the quasi-stationary eddies that determine the local onshore and offshore flow over West Antarctica.</t>
  </si>
  <si>
    <t>10.1175/1520-0442(2004)017&lt;0448:MAPPIE&gt;2.0.CO;2</t>
  </si>
  <si>
    <t>WOS:000188843200004</t>
  </si>
  <si>
    <t>Janecki, T; Rakusa-Suszczewski, S</t>
  </si>
  <si>
    <t>The effect of glutamic acid (Glu) and kynurenic acid (Kyn) on the metabolism of the Antarctic amphipod Abyssorchomene plebs</t>
  </si>
  <si>
    <t>JOURNAL OF CRUSTACEAN BIOLOGY</t>
  </si>
  <si>
    <t>ION CHANNELS; RESPONSES; BIOLOGY; RATS; SEA</t>
  </si>
  <si>
    <t>Two-weeks starvation caused 45% decrease in the metabolism of the Antarctic amphipod Abyssorchomene plebs. Glutamic acid (Glu) in the concentration of 10 mM increased reactions of starved animals three times, but did not change reactions of the fed ones. Two-hours exposure of both starved and fed amphipods in the kynurenic acid (Kyn) solution in the concentration of 0.1 mM blocked the reactions of the latter group for glutamic acid (Glu). The reactions of invertebrates for glutamic acid (Glu) and kynurenic acid (Kyn) are similar to the well-known antagonistic reactions in the brains of vertebrates.</t>
  </si>
  <si>
    <t>Polish Acad Sci, Dept Antarctic Biol, PL-02141 Warsaw, Poland</t>
  </si>
  <si>
    <t>Polish Academy of Sciences</t>
  </si>
  <si>
    <t>Janecki, T (corresponding author), Polish Acad Sci, Dept Antarctic Biol, Ustrzycka 10-12, PL-02141 Warsaw, Poland.</t>
  </si>
  <si>
    <t>toja@dab.waw.pl; profesor@dab.waw.pl</t>
  </si>
  <si>
    <t>0278-0372</t>
  </si>
  <si>
    <t>1937-240X</t>
  </si>
  <si>
    <t>J CRUSTACEAN BIOL</t>
  </si>
  <si>
    <t>J. Crustac. Biol.</t>
  </si>
  <si>
    <t>10.1651/C-2390</t>
  </si>
  <si>
    <t>774VL</t>
  </si>
  <si>
    <t>WOS:000189006300007</t>
  </si>
  <si>
    <t>Hazel, JR; Sidell, BD</t>
  </si>
  <si>
    <t>The substrate specificity of hormone-sensitive lipase from adipose tissue of the Antarctic fish Trematomus newnesi</t>
  </si>
  <si>
    <t>hormone-sensitive lipase; triacylglycerol lipase; Antarctic fish; Trematomus newnesi; adipose tissue; substrate specificity</t>
  </si>
  <si>
    <t>PEROXISOMAL BETA-OXIDATION; FATTY-ACIDS; LIPID COMPOSITIONS; NOTOTHENIOID FISH; LIPOLYSIS; BUOYANCY; SYSTEMS</t>
  </si>
  <si>
    <t>Antarctic fishes of the suborder Notothenioidei characteristically possess large stores of neutral lipids that have been shown to be important both in conferring buoyant lift and as a caloric resource for energy metabolism. Previous; work has established that the aerobic energy metabolism of Antarctic fish is fueled predominantly by the catabolism of fatty acids, with the catabolic machinery displaying a preference for the oxidation of unsaturated fatty acids. The composition of the fatty acids released from adipose tissue of Antarctic fish during lipolysis, however, has not previously been demonstrated. Employing a substrate competition assay, we have characterized the substrate specificity of hormone-sensitive lipase (HSL) from adipose tissue of the Antarctic fish Trematomus newnesi. Rates of oleic acid release from radiolabeled triolein were quantified in the presence and absence of a nonradiolabeled cosubstrate. Polyunsaturated species of triacylglycerols (TAGs) containing 18:2 or 20:4 depressed rates of oleate release by 70-75% below control values. Most of the molecular species of TAG containing monoenoic fatty acids (i.e. those containing 14:1, 16:1 or 20:1) had no significant effect on rates of oleate release. By contrast, oleate release from triolein was actually stimulated (by 2-4-fold) by both saturated species of TAG (i.e. those containing 14:0, 16:0 and 18:0) and those possessing long-chain (22:1 and 24:1) monoenes (by 1.2-1.5-fold). Thus, the rank order of substrate preference for adipose tissue HSL was: polyunsaturates &gt; monoenes &gt; saturates. Degree of fatty acid unsaturation had a more marked effect on rates of hydrolysis than did fatty acid chain length. In addition, the enzyme displayed a preference for the hydrolysis of sn-1,2 rather than sn-1,3 diacylglycerols. These data indicate that the substrate specificity of adipose tissue HSL may be an important factor in determining which fatty acids are mobilized during stimulated lipolysis and which are made available for catabolism by other tissues of Antarctic fishes. Our data further suggest that TAGs containing some saturated fatty acids may be sufficiently poor substrates for catabolism by HSL to explain their disproportionate accumulation in adipose tissue. Such a mechanism could also contribute to the ontogenetic accumulation of fats that has been reported as an underlying basis for the positive correlation of buoyancy with increasing body mass in this group.</t>
  </si>
  <si>
    <t>Arizona State Univ, Dept Biol, Tempe, AZ 85287 USA; Univ Maine, Sch Marine Sci, Orono, ME 04469 USA</t>
  </si>
  <si>
    <t>Arizona State University; Arizona State University-Tempe; University of Maine System; University of Maine Orono</t>
  </si>
  <si>
    <t>Arizona State Univ, Dept Biol, Tempe, AZ 85287 USA.</t>
  </si>
  <si>
    <t>bsidell@maine.edu</t>
  </si>
  <si>
    <t>10.1242/jeb.00823</t>
  </si>
  <si>
    <t>804ZL</t>
  </si>
  <si>
    <t>WOS:000220336500006</t>
  </si>
  <si>
    <t>Worland, MR; Wharton, DA; Byars, SG</t>
  </si>
  <si>
    <t>Intracellular freezing and survival in the freeze tolerant alpine cockroach Celatoblatta quinquemaculata</t>
  </si>
  <si>
    <t>JOURNAL OF INSECT PHYSIOLOGY</t>
  </si>
  <si>
    <t>cell survival; cockroach; cold hardening; cold tolerance; freezing tolerance; insect</t>
  </si>
  <si>
    <t>FAT-BODY CELLS; EUROSTA-SOLIDAGINIS DIPTERA; COLD TOLERANCE; LOW-TEMPERATURE; ICE NUCLEATION; INSECT; TEPHRITIDAE; STRESS; LARVAE; FROZEN</t>
  </si>
  <si>
    <t>The alpine cockroach Celatoblatta quinquemaculata is common at altitudes of around 1500 m on the Rock and Pillar range of Central Otago, New Zealand where it experiences freezing conditions in the winter. The cockroach is freeze tolerant, but only,to C. -9degreesC. The cause of death at temperatures below this is unknown but likely to be due to osmotic damage to cells (shrinkage). This study compared the effect of different ice nucleation temperatures (-2 and 4 degreesC) on the viability of three types of cockroach tissue (midgut, Malpighian tubules and fat body cells) and cooling to three different temperatures (-5, -8, -12 degreesC). Two types of observations were made (i) cryomicroscope observations of ice formation and cell shrinkage (ii) cell integrity (viability) using vital stains. Cell viability decreased with lower treatment temperatures but ice nucleation temperature had no significant effect. Cryomicroscope observations showed that ice spread through tissue faster at -4 than -2 degreesC and that intracellular freezing only occurred when nucleated at -4 degreesC. From temperature records during cooling, it was observed that when freezing occurred, latent bleat immediately increased the insect's body temperature close to its melting point (c. -0.3 degreesC). This rebound temperature was independent of nucleation temperature. Some tissues were more vulnerable to damage than others. As the gut is thought to be the site of freezing, it is significant that this tissue was the most robust. The ecological importance of the effect of nucleation temperature on survival of whole animals under field conditions is discussed. (C) 2003 Elsevier Ltd. All rights reserved.</t>
  </si>
  <si>
    <t>British Antarctic Survey, Nat Environm Res Council, Cambridge CB3 0ET, England; Univ Otago, Dept Zool, Dunedin, New Zealand</t>
  </si>
  <si>
    <t>UK Research &amp; Innovation (UKRI); Natural Environment Research Council (NERC); NERC British Antarctic Survey; University of Otago</t>
  </si>
  <si>
    <t>British Antarctic Survey, Nat Environm Res Council, High Cross,Madingley Rd, Cambridge CB3 0ET, England.</t>
  </si>
  <si>
    <t>mrwo@bas.ac.uk</t>
  </si>
  <si>
    <t>Wharton, David/0000-0001-6369-4984; Byars, Sean/0000-0002-3797-8112</t>
  </si>
  <si>
    <t>0022-1910</t>
  </si>
  <si>
    <t>1879-1611</t>
  </si>
  <si>
    <t>J INSECT PHYSIOL</t>
  </si>
  <si>
    <t>J. Insect Physiol.</t>
  </si>
  <si>
    <t>FEB-MAR</t>
  </si>
  <si>
    <t>2-3</t>
  </si>
  <si>
    <t>10.1016/j.jinsphys.2003.12.001</t>
  </si>
  <si>
    <t>Entomology; Physiology; Zoology</t>
  </si>
  <si>
    <t>805SC</t>
  </si>
  <si>
    <t>WOS:000220385000014</t>
  </si>
  <si>
    <t>Simmon, KE; Steadman, DD; Durkin, S; Baldwin, A; Jeffrey, WH; Sheridan, P; Horton, R; Shields, MS</t>
  </si>
  <si>
    <t>Autoclave method for rapid preparation of bacterial PCR-template DNA</t>
  </si>
  <si>
    <t>JOURNAL OF MICROBIOLOGICAL METHODS</t>
  </si>
  <si>
    <t>PCR; template; environmental; DNA isolation; autoclave</t>
  </si>
  <si>
    <t>MICROBIAL-POPULATIONS; RIBOSOMAL-RNA; SEQUENCES; SAMPLES</t>
  </si>
  <si>
    <t>An autoclave method for preparing bacterial DNA for PCR template is presented, it eliminates the use of detergents, organic solvents, and mechanical cellular disruption approaches, thereby significantly reducing processing time and costs while increasing reproducibility. Bacteria are lysed by rapid heating and depressurization in an autoclave. The lysate, cleared by microcentrifugation, was either used directly in the PCR reaction, or concentrated by ultrafiltration. This approach was compared with seven established methods of DNA template preparation from four bacterial sources which included boiling Triton X-100 and SDS, bead beating, lysozyme/proteinase K, and CTAB lysis method components. Bacteria examined were Enterococcus and Escherichia coli, a natural marine bacterial community and an Antarctic cyanobacterial-mat. DNAs were tested for their suitability as PCR templates by repetitive element random amplified polymorphic DNA (RAPD) and denaturing gradient gel electrophoresis (DGGE) analysis. The autoclave method produced PCR amplifiable template comparable or superior to the other methods, with greater reproducibility, much shorter processing time, and at a significantly lower cost. (C) 2003 Elsevier B.V. All rights reserved.</t>
  </si>
  <si>
    <t>Idaho State Univ, Dept Sci Biol, Pocatello, ID 83209 USA; Univ W Florida, Ctr Environm Diagnost &amp; Bioremediat, Pensacola, FL USA</t>
  </si>
  <si>
    <t>Idaho; Idaho State University; State University System of Florida; University of West Florida</t>
  </si>
  <si>
    <t>Idaho State Univ, Dept Sci Biol, Box 8007, Pocatello, ID 83209 USA.</t>
  </si>
  <si>
    <t>shiemalc@isu.edu</t>
  </si>
  <si>
    <t>Steadman, Dawnie/AAG-4216-2020</t>
  </si>
  <si>
    <t>0167-7012</t>
  </si>
  <si>
    <t>1872-8359</t>
  </si>
  <si>
    <t>J MICROBIOL METH</t>
  </si>
  <si>
    <t>J. Microbiol. Methods</t>
  </si>
  <si>
    <t>10.1016/j.mimet.2003.10.003</t>
  </si>
  <si>
    <t>Biochemical Research Methods; Microbiology</t>
  </si>
  <si>
    <t>Biochemistry &amp; Molecular Biology; Microbiology</t>
  </si>
  <si>
    <t>775WQ</t>
  </si>
  <si>
    <t>WOS:000189084000001</t>
  </si>
  <si>
    <t>Nakano, T; Ozawa, T</t>
  </si>
  <si>
    <t>Phylogeny and historical biogeography of limpets of the order Patellogastropoda based on mitochondrial DNA sequences</t>
  </si>
  <si>
    <t>JOURNAL OF MOLLUSCAN STUDIES</t>
  </si>
  <si>
    <t>EVOLUTIONARY RATES; GASTROPODA; MOLLUSCA; MORPHOLOGY; PATELLIDAE; DISPERSAL; PACIFIC; OCEAN</t>
  </si>
  <si>
    <t>Using new and previously published sequences of two mitochondrial genes (fragments of 12S and 16S ribosomal RNA; total 700 sites), we constructed a molecular phylogeny for 86 extant species, covering a major part of the order Patellogastropoda. There were 35 lottiid, one acmaeid, five nacellid and two patellid species from the western and northern Pacific; and 34 patellid, six nacellid and three lottiid species from the Atlantic, southern Africa, Antarctica and Australia. Emarginula foveolata fujitai (Fissurellidae) was used as the outgroup. In the resulting phylogenetic trees, the species fall into two major clades with high bootstrap support, designated here as (A) a clade of southern Tethyan origin consisting of superfamily Patelloidea and (B) a clade of tropical Tethyan origin consisting of the Acmaeoidea. Clades A and B were further divided into three and six subclades, respectively, which correspond with geographical distributions of species in the following genus or genera: (A1) northeastern Atlantic (Patella); (A2) southern Africa and Australasia (Scutellastra, Cymbula and Helcion); (A3) Antarctic, western Pacific, Australasia (Nacella and Cellana); (B1) western to northwestern Pacific (Patelloida); (B2) northern Pacific and northeastern Atlantic (Lottia); (B3) northern Pacific (Lottia and Yayoiacmea); (B4) northwestern Pacific (Nipponacmea); (B5) northern Pacific (Acmaea and Niveotectura) and (B6) northeastern Atlantic (Tectura). Approximate divergence times were estimated using geological events and the fossil record to determine a reference date. Divergence of the two major clades likely occurred as far back as the early Cretaceous. The phylogeny also suggests that nine principal geographic clades were formed during the late Mesozoic to early Cenozoic in association with the disruption of Pangea, which gave rise to new oceans and seaways.</t>
  </si>
  <si>
    <t>Nagoya Univ, Dept Earth &amp; Planetary Sci, Nagoya, Aichi 4648602, Japan</t>
  </si>
  <si>
    <t>Nagoya University</t>
  </si>
  <si>
    <t>Ozawa, T (corresponding author), Nagoya Univ, Dept Earth &amp; Planetary Sci, Nagoya, Aichi 4648602, Japan.</t>
  </si>
  <si>
    <t>ozawa@eps.nagoya-u.ac.jp</t>
  </si>
  <si>
    <t>Nakano, Tomoyuki/0009-0008-0109-1289</t>
  </si>
  <si>
    <t>0260-1230</t>
  </si>
  <si>
    <t>1464-3766</t>
  </si>
  <si>
    <t>J MOLLUS STUD</t>
  </si>
  <si>
    <t>J. Molluscan Stud.</t>
  </si>
  <si>
    <t>10.1093/mollus/70.1.31</t>
  </si>
  <si>
    <t>777CP</t>
  </si>
  <si>
    <t>WOS:000189157100003</t>
  </si>
  <si>
    <t>McMinn, A; Runcie, JW; Riddle, M</t>
  </si>
  <si>
    <t>Effect of seasonal sea ice breakout on the photosynthesis of benthic diatom mats at Casey, Antarctica</t>
  </si>
  <si>
    <t>JOURNAL OF PHYCOLOGY</t>
  </si>
  <si>
    <t>Antarctica; benthic; diatom; microalgal; PAM; photosynthesis</t>
  </si>
  <si>
    <t>FJORD YOUNG SOUND; MCMURDO-SOUND; CHLOROPHYLL FLUORESCENCE; ELECTRON-TRANSPORT; NE GREENLAND; ALGAE; MICROALGAE; PHYTOPLANKTON; MICROPHYTOBENTHOS; PHOTOACCLIMATION</t>
  </si>
  <si>
    <t>Photosynthesis of marine benthic diatom mats was examined before and after sea ice breakout at a coastal site in eastern Antarctica (Casey). Before ice breakout the maximum under-ice irradiance was between 2.5 and 8.2 mumol photons.m(-2).s(-1) and the benthic microalgal community was characterized by low E-k (12.1-32.3 mumol photons.m(-2).s(-1)), low relETR(max) (9.2-32.9), and high alpha (0.69-1.1). After breakout, 20 days later, the maximum irradiance had increased to between 293 and 840 mumol photons.m(-2).s(-1), E-k had increased by more than an order of magnitude (to 301-395 mumol photons.m(-2).s(-1)), relETR(max) had increased by more than five times (to 104-251), and alpha decreased by approximately 50% (to 0.42-0.68). During the same time interval the species composition of the mats changed, with a decline in the abundance of Trachyneis aspera (Karsten) Hustedt, Gyrosigma subsalsum Van Heurck, and Thalassiosira gracilis (Karsten) Hustedt and an increase in the abundance of Navicula glaciei Van Heurck. The benthic microalgal mats at Casey showed that species composition and photophysiology changed in response to the sudden natural increase in irradiance. This occurred through both succession shifts in the species composition of the mats and also an ability of individual cells to photoacclimate to the higher irradiances.</t>
  </si>
  <si>
    <t>Univ Tasmania, Inst Antarctic &amp; So Ocean Studies, Hobart, Tas 7001, Australia; Hawaii Inst Marine Biol, Kaneohe, HI 96744 USA; Australian Antarctic Div, Kingston, Tas 7050, Australia</t>
  </si>
  <si>
    <t>Univ Tasmania, Inst Antarctic &amp; So Ocean Studies, Box 252-77, Hobart, Tas 7001, Australia.</t>
  </si>
  <si>
    <t>andrew.mcminn@utas.edu.au</t>
  </si>
  <si>
    <t>McMinn, Andrew/A-9910-2008</t>
  </si>
  <si>
    <t>0022-3646</t>
  </si>
  <si>
    <t>1529-8817</t>
  </si>
  <si>
    <t>J PHYCOL</t>
  </si>
  <si>
    <t>J. Phycol.</t>
  </si>
  <si>
    <t>10.1046/j.1529-8817.2004.02127.x</t>
  </si>
  <si>
    <t>Plant Sciences; Marine &amp; Freshwater Biology</t>
  </si>
  <si>
    <t>772WJ</t>
  </si>
  <si>
    <t>WOS:000188864700007</t>
  </si>
  <si>
    <t>Radko, T; Marshall, J</t>
  </si>
  <si>
    <t>Eddy-induced diapycnal fluxes and their role in the maintenance of the thermocline</t>
  </si>
  <si>
    <t>POTENTIAL VORTICITY; OCEAN; TRANSPORT; EDDIES; MODEL</t>
  </si>
  <si>
    <t>High-resolution numerical experiments are diagnosed to study the integral effects of geostrophic eddy fluxes on the large-scale ocean circulation. Three characteristic large-scale flows are considered: 1) an anticyclonic single gyre, 2) a double gyre, and 3) an unblocked zonal flow, a simple analog of the Antarctic Circumpolar Current. It is found that buoyancy and potential vorticity budgets in the presence of eddies are dominated by a balance between vertical advection into the control volume by Ekman pumping and eddy transfer across the density surfaces achieved by diapycnal eddy fluxes, with small-scale mixing making only a minor contribution. Possible oceanographic implications of the results are discussed.</t>
  </si>
  <si>
    <t>MIT, Dept Earth Atmospher &amp; Planetary Sci, Cambridge, MA 02139 USA</t>
  </si>
  <si>
    <t>Massachusetts Institute of Technology (MIT)</t>
  </si>
  <si>
    <t>MIT, Dept Earth Atmospher &amp; Planetary Sci, Bldg 54-1517,77 Massachusetts Ave, Cambridge, MA 02139 USA.</t>
  </si>
  <si>
    <t>timour@ocean.mit.edu</t>
  </si>
  <si>
    <t>1520-0485</t>
  </si>
  <si>
    <t>10.1175/1520-0485(2004)034&lt;0372:EDFATR&gt;2.0.CO;2</t>
  </si>
  <si>
    <t>772LX</t>
  </si>
  <si>
    <t>WOS:000188844500003</t>
  </si>
  <si>
    <t>Rivière, P; Treguier, AM; Klein, P</t>
  </si>
  <si>
    <t>Effects of bottom friction on nonlinear equilibration of an oceanic baroclinic jet</t>
  </si>
  <si>
    <t>ANTARCTIC CIRCUMPOLAR CURRENT; BETA-PLANE CHANNEL; VERTICAL STRUCTURE; GEOSTROPHIC TURBULENCE; ZONAL JETS; INSTABILITY; WAVES; MODEL; FLOW; DISSIPATION</t>
  </si>
  <si>
    <t>Bottom friction is an important sink of energy in the ocean. Indeed, high-resolution ocean models need bottom friction to achieve a satisfactory kinetic energy level at equilibrium. However, bottom friction has also subtle and discriminating effects on the different energy transfers and therefore on the 3D structure of the flow, some of which have to be clarified. In this study, those effects on an unstable baroclinic jet are reexamined using a primitive equation model. As in previous studies using quasigeostrophic models, it was found that bottom friction strongly affects the barotropic mode whereas the baroclinic modes are weakly changed. The new result is that bottom friction yields a significant space-scale selection. Analysis of the dynamics reveals strong agreement with previous quasigeostrophic studies at the mesoscale in the interior but differences in the eddy field at small scales close to the surface. A rationalization of these results is proposed by a comparison with preceding atmospheric studies. It is shown that the barotropic governor'' of James and Gray is not active in ocean simulations and that the scale selection induced by bottom friction is primarily induced by nonlinear interactions in the three-dimensional structure of the eddy field.</t>
  </si>
  <si>
    <t>IUEM, LEMAR, F-29280 Plouzane, France; IFREMER, Ctr Brest, LPO, Plouzane, France</t>
  </si>
  <si>
    <t>Centre National de la Recherche Scientifique (CNRS); Ifremer; Institut de Recherche pour le Developpement (IRD); Universite de Bretagne Occidentale; Institut Universitaire Europeen de la Mer (IUEM); Universite de Bretagne Occidentale; Centre National de la Recherche Scientifique (CNRS); Ifremer; Institut de Recherche pour le Developpement (IRD)</t>
  </si>
  <si>
    <t>Rivière, P (corresponding author), IUEM, LEMAR, Technopole Brest Iroise, F-29280 Plouzane, France.</t>
  </si>
  <si>
    <t>Pascal.Riviere@univ-brest.fr</t>
  </si>
  <si>
    <t>Klein, Patrice/M-4279-2015; Treguier, Anne Marie/B-7497-2009</t>
  </si>
  <si>
    <t>Klein, Patrice/0000-0002-3089-3896; Treguier, Anne Marie/0000-0003-4569-845X</t>
  </si>
  <si>
    <t>10.1175/1520-0485(2004)034&lt;0416:EOBFON&gt;2.0.CO;2</t>
  </si>
  <si>
    <t>Green Submitted, hybrid</t>
  </si>
  <si>
    <t>WOS:000188844500006</t>
  </si>
  <si>
    <t>Peters, J; Tuschling, K; Brandt, A</t>
  </si>
  <si>
    <t>Zooplankton in the arctic Laptev Sea - feeding ecology as indicated by fatty acid composition</t>
  </si>
  <si>
    <t>JOURNAL OF PLANKTON RESEARCH</t>
  </si>
  <si>
    <t>MARGINAL ICE-ZONE; CALANUS-FINMARCHICUS; ANTARCTIC COPEPODS; LIPID-COMPOSITION; BARENTS SEA; LIMNOCALANUS-MACRURUS; PSEUDOCALANUS-MINUTUS; HERBIVOROUS COPEPODS; TROPHIC MARKERS; WAX ESTERS</t>
  </si>
  <si>
    <t>The fatty acid and alcohol composition of the mesozooplankton species analysed indicated a diatom-based diet in late summer. For the majority of organisms investigated, an opportunistic feeding behaviour is assumed.</t>
  </si>
  <si>
    <t>Univ Kiel, Inst Polar Ecol, D-24148 Kiel, Germany; Univ Hamburg, Zool Inst &amp; Museum, D-20146 Hamburg, Germany</t>
  </si>
  <si>
    <t>University of Kiel; University of Hamburg</t>
  </si>
  <si>
    <t>Peters, J (corresponding author), Univ Bremen, POB 330440, D-28334 Bremen, Germany.</t>
  </si>
  <si>
    <t>janna.peters@uni-bremen.de</t>
  </si>
  <si>
    <t>0142-7873</t>
  </si>
  <si>
    <t>J PLANKTON RES</t>
  </si>
  <si>
    <t>J. Plankton Res.</t>
  </si>
  <si>
    <t>10.1093/plankt/fbh017</t>
  </si>
  <si>
    <t>Marine &amp; Freshwater Biology; Oceanography</t>
  </si>
  <si>
    <t>774MV</t>
  </si>
  <si>
    <t>WOS:000188987800011</t>
  </si>
  <si>
    <t>Cantero, ALP; Vervoort, K</t>
  </si>
  <si>
    <t>Two new Antarctic species of Schizotricha (Cnidaria: Hydrozoa: Leptothecata) from US Antarctic expeditions</t>
  </si>
  <si>
    <t>JOURNAL OF THE MARINE BIOLOGICAL ASSOCIATION OF THE UNITED KINGDOM</t>
  </si>
  <si>
    <t>ALLMAN</t>
  </si>
  <si>
    <t>Two species of the genus Schizotricha new to science (Schizotricha crassa sp. nov. and S. southgeorgiae sp.nov.) have been studied. Both species are described and figured and their systematic position amongst the remaining species of the genus is discussed. The material was collected during the United States Antarctic Research Programme (USARP) with RV 'Eltanin' and RV 'Islas Orcadas'. A comparative table listing the main features and distribution of the known species of Schizotricha, together with an identification key, are presented.</t>
  </si>
  <si>
    <t>Univ Valencia, Fac Ciencias Biol, Dept Zool, E-46100 Valencia, Spain; Natl Museum Nat Hist, NL-2300 RA Leiden, Netherlands</t>
  </si>
  <si>
    <t>University of Valencia</t>
  </si>
  <si>
    <t>Cantero, ALP (corresponding author), Univ Valencia, Fac Ciencias Biol, Dept Zool, Dr Moliner 50, E-46100 Valencia, Spain.</t>
  </si>
  <si>
    <t>Alvaro.L.Pena@uv.es; vervoort@naturalis.num.nl</t>
  </si>
  <si>
    <t>Cantero, Álvaro Luis Peña/F-7888-2016</t>
  </si>
  <si>
    <t>Pena Cantero, Alvaro/0000-0003-3056-6673</t>
  </si>
  <si>
    <t>0025-3154</t>
  </si>
  <si>
    <t>1469-7769</t>
  </si>
  <si>
    <t>J MAR BIOL ASSOC UK</t>
  </si>
  <si>
    <t>J. Mar. Biol. Assoc. U.K.</t>
  </si>
  <si>
    <t>10.1017/S0025315404008872h</t>
  </si>
  <si>
    <t>779PM</t>
  </si>
  <si>
    <t>WOS:000189309300005</t>
  </si>
  <si>
    <t>Lörz, AN; Brandt, A</t>
  </si>
  <si>
    <t>Phylogeny of Antarctic Epimeria (Epimeriidae: Amphipoda)</t>
  </si>
  <si>
    <t>NOTOTHENIOIDS; CRUSTACEA; OCEAN; GENUS</t>
  </si>
  <si>
    <t>Amphipoda belong to the most abundant benthic organisms of Antarctica, the Epimeriidae being one of the most dominant families. Morphological characters are used to explore relationships between the species of all Anarctic Epimeria, the genus representing 70% of Antarctic epimeriid species. Additional Epimeria from the deep sea off Brazil, the Tasman Sea and from shallow Norwegian waters are analysed. Species of Epimeriella and Metepimeria, as well as iphimedoid taxa are also considered. High intraspecific variation was observed, which was not related to size, sex, or locality and may indicate recent speciation of some Antarctic epimeriids. The small number of taxa Studied from the deep sea and the northern hemisphere and difficulty in defining apomorphic and plesiomorphic states does not allow us to present final conclusions about the origin of Antarctic Epimeria living on the Antarctic shelf. Nonetheless, deep-sea species from the mid-Atlantic form a clade with deep-sea species from the western Pacific and two of the three studied North Atlantic species. This supports the Watling &amp; Thurston (1989) hypothesis that Antarctica acts as an evolutionary incubator.</t>
  </si>
  <si>
    <t>Natl Inst Water &amp; Atmospher Res, Wellington, New Zealand; Univ Hamburg, Zool Museum, D-20146 Hamburg, Germany</t>
  </si>
  <si>
    <t>National Institute of Water &amp; Atmospheric Research (NIWA) - New Zealand; University of Hamburg</t>
  </si>
  <si>
    <t>Lörz, AN (corresponding author), Natl Inst Water &amp; Atmospher Res, Private Bag 14-901, Wellington, New Zealand.</t>
  </si>
  <si>
    <t>a.loerz@niwa.co.nz</t>
  </si>
  <si>
    <t>WOS:000189309300022</t>
  </si>
  <si>
    <t>Lambert, G</t>
  </si>
  <si>
    <t>The south temperate and Antarctic ascidian Corella eumyota reported in two harbours in north-western France</t>
  </si>
  <si>
    <t>In July 2002 the southern hemisphere ascidian Corella eumyota was detected in the northern hemisphere for the first time, attached to floating clocks in two harbours in north-western France: Perros-Guirec and Camaret-sur-Mer. Most individuals in the large clumps of tightly packed aggregations contained a clutch of brooded embryos in the atrial cavity, resting on the posterolateral epithelium overlying the ovotestis very close to the openings of the sperm duct and oviduct which are immediately adjacent to each other on the surface of the ovotestis, a morphological peculiarity not previously reported. These openings are far from the atrial siphon; it is possible that the species routinely self-fertilizes. The larvae are retained after hatching until they are competent to settle, resulting in a very short free-swimming larval period, limited dispersal, and a tendency for the larvae immediately after release to settle on the parent tunic or adjacent adults. It is hypothesized that individuals attached to some type of hard substrate were transported anthropogenically to France. Because the two harbours in which these nonindigenous ascidians were living are small, they probably represent secondary sites of invasion into France; the primary sites have not yet been identified.</t>
  </si>
  <si>
    <t>Univ Washington, Friday Harbor Labs, Friday Harbor, WA 98250 USA</t>
  </si>
  <si>
    <t>University of Washington</t>
  </si>
  <si>
    <t>Lambert, G (corresponding author), 12001 11th Ave NW, Seattle, WA 98177 USA.</t>
  </si>
  <si>
    <t>glambert@fullerton.edu</t>
  </si>
  <si>
    <t>Lambert, Gretchen/HGA-3328-2022</t>
  </si>
  <si>
    <t>10.1017/S0025315404009105h</t>
  </si>
  <si>
    <t>WOS:000189309300028</t>
  </si>
  <si>
    <t>Porter, JS; Hayward, PJ</t>
  </si>
  <si>
    <t>Species of Alcyonidium (Bryozoa: Ctenostomata) from Antarctica and Magellan Strait, defined by morphological, reproductive and molecular characters</t>
  </si>
  <si>
    <t>CRYPTIC SPECIATION; DNA; PACKAGE; TREES</t>
  </si>
  <si>
    <t>Seven species of the etenostome bryozoan genus Alcyonidium from Magellanic, Patagonian and Antarctic shelf coastal waters are described using molecular genetic and morphological characteristics. One species is limited to cold temperate South America. A second species is reported from five stations in the Magellan Strait and a single station in the Palmer Archipelago, Antarctic Peninsula. The remaining five species appear to be endemic to Antarctica; Alcyonidium epispiculum, A. scolecoideum and A. pelagosphaerum is upgraded to species level. Genetic diversity is least in the circumpolar Antarctic species Alcyonidium flabelliforme and greatest in the epibiotic A. eightsi, recorded only from the Palmer Archipelago. The latter is shown to brood lecithotrophic larvae with predicted minimum dispersal capability, five of the remaining species are inferred to shed planktonic larvae with potentially wide dispersal abilities. Reproductive mode of one species is unknown. A phylogenetic analysis of five haplotypes recognized shows the ancestral haplotype to belong to the broadcast spawner A. epispiculum. The two most recently diverged haplotypes were found in the brooding species A. eightsi.</t>
  </si>
  <si>
    <t>Univ Coll Swansea, Sch Biol Sci, Swansea SA2 8PP, W Glam, Wales</t>
  </si>
  <si>
    <t>Swansea University</t>
  </si>
  <si>
    <t>Porter, JS (corresponding author), Univ Coll Swansea, Sch Biol Sci, Singleton Pk, Swansea SA2 8PP, W Glam, Wales.</t>
  </si>
  <si>
    <t>bdporter@swansea.ac.uk</t>
  </si>
  <si>
    <t>Porter, Joanne/B-8060-2011</t>
  </si>
  <si>
    <t>Porter, Joanne/0000-0002-5878-3912</t>
  </si>
  <si>
    <t>10.1017/S0025315404009129h</t>
  </si>
  <si>
    <t>WOS:000189309300030</t>
  </si>
  <si>
    <t>Bowie, AR; Sedwick, PN; Worsfold, PJ</t>
  </si>
  <si>
    <t>Analytical intercomparison between flow injection-chemiluminescence and flow injection-spectrophotometry for the determination of picomolar concentrations of iron in seawater</t>
  </si>
  <si>
    <t>LIMNOLOGY AND OCEANOGRAPHY-METHODS</t>
  </si>
  <si>
    <t>ANTARCTIC SHELF WATERS; SURFACE WATERS; HYDROGEN-PEROXIDE; SOUTHERN-OCEAN; ATLANTIC-OCEAN; NORTH PACIFIC; LIMITATION; OXIDATION; IRON(III); MANGANESE</t>
  </si>
  <si>
    <t>A lab- and ship-based analytical intercomparison of two flow injection methods for the determination of iron in seawater was conducted, using three different sets of seawater samples collected from the Southern Ocean and South Atlantic. In one exercise, iron was determined in three different size-fractions (&lt; 0.03 μm, &lt; 0.4 mum, and unfiltered) in an effort to better characterize the operational nature of each analytical technique with respect to filter size. Measured Fe concentrations were in the range 0.19 to 1.19 nM using flow injection with luminol chemiluminescence detection (FI-CL), and 0.07 to 1.54 nM using flow injection with catalytic spectrophotometric detection with N, N-dimethyl-p-phenylenediamine dihydrochloride (FI-DPD). The arithmetic mean for the FI-CL method was higher (by 0.09 nM) than the FI-DPD method for dissolved (&lt; 0.4 μm) Fe, a difference that is comparable to the analytical blanks, which were as high as 0.13 nM ( CL) and 0.09 nM (DPD). There was generally good agreement between the FI-CL determinations for the &lt; 0.03 mum size fraction and the FI-DPD determinations for the &lt; 0.4 μm size fraction in freshly collected samples. Differences in total-dissolvable ( unfiltered) Fe concentrations determined by the two FI methods were more variable, reflecting the added complexity associated with the analysis of partially digested particulate material in these samples. Overall, however, the FI-CL determinations were significantly (P = 0.05) lower than the FI-DPD determinations for the unfiltered samples. Our results suggest that the observed, systematic inter-method differences reflect measurement of different physicochemical fractions of Fe present in seawater, such that colloidal and/or organic iron species are better determined by the FI-CL method than the FI-DPD method. This idea is supported by our observation that inter-method differences were largest for freshly collected acidified seawater, which suggests extended storage (&gt;6 months) of acidified samples as a possible protocol for the determination of dissolved iron in seawater.</t>
  </si>
  <si>
    <t>Univ Tasmania, Sch Chem, Australian Ctr Res Separat Sci, Hobart, Tas 7001, Australia; Univ Tasmania, Antarctic Climate &amp; Ecosyst Cooperat Res Ctr, Hobart, Tas 7001, Australia; Bermuda Biol Stn Res, St Georges GEO1, Bermuda; Univ Tasmania, Inst Antarctic &amp; So Ocean Studies, Hobart, Tas 7001, Australia; Univ Plymouth, Sch Earth Ocean &amp; Environm Sci, Plymouth PL4 8AA, Devon, England; Univ Plymouth, Plymouth Environm Res Ctr, Plymouth PL4 8AA, Devon, England</t>
  </si>
  <si>
    <t>University of Tasmania; Antarctic Climate &amp; Ecosystems Cooperative Research Centre (ACE CRC); University of Tasmania; University of Tasmania; University of Plymouth; University of Plymouth</t>
  </si>
  <si>
    <t>Bowie, AR (corresponding author), Univ Tasmania, Sch Chem, Australian Ctr Res Separat Sci, Hobart, Tas 7001, Australia.</t>
  </si>
  <si>
    <t>Andrew.Bowie@utas.edu.au</t>
  </si>
  <si>
    <t>; Bowie, Andrew/C-8677-2013</t>
  </si>
  <si>
    <t>Worsfold, Paul/0000-0002-2262-7723; Bowie, Andrew/0000-0002-5144-7799; Sedwick, Peter/0000-0003-0663-8323</t>
  </si>
  <si>
    <t>AMER SOC LIMNOLOGY OCEANOGRAPHY</t>
  </si>
  <si>
    <t>WACO</t>
  </si>
  <si>
    <t>5400 BOSQUE BLVD, STE 680, WACO, TX 76710-4446 USA</t>
  </si>
  <si>
    <t>LIMNOL OCEANOGR-METH</t>
  </si>
  <si>
    <t>Limnol. Oceanogr. Meth.</t>
  </si>
  <si>
    <t>10.4319/lom.2004.2.42</t>
  </si>
  <si>
    <t>Limnology; Oceanography</t>
  </si>
  <si>
    <t>903IJ</t>
  </si>
  <si>
    <t>WOS:000227419000002</t>
  </si>
  <si>
    <t>Pakhomov, EA; McClelland, JW; Bernard, K; Kaehler, S; Montoya, JP</t>
  </si>
  <si>
    <t>Spatial and temporal shifts in stable isotope values of the bottom-dwelling shrimp Nauticaris marionis at the sub-Antarctic archipelago</t>
  </si>
  <si>
    <t>PRINCE-EDWARD-ISLANDS; SOUTHERN-OCEAN; GROWTH-RATE; CLIMATE-CHANGE; FOOD-WEB; MARINE-PHYTOPLANKTON; CO2 CONCENTRATION; FRACTIONATION; ENVIRONMENT; DELTA-C-13</t>
  </si>
  <si>
    <t>Spatial and temporal dynamics of carbon and nitrogen stable isotope signatures of the bottom-dwelling caridean shrimp Nauticaris marionis were measured during April and May between 1984 and 2000 in the vicinity of Marion Island (the Prince Edward Islands, Southern Ocean). There was one trophic-level enrichment in bulk delta(15)N and delta(13)C signatures between small (&lt;20 mm long) and large (&gt;20 mm) specimens of N. marionis, suggesting distinct trophic differentiation among major shrimp size groups. Both delta(15)N and delta(13)C values of N. marionis increased with the depth, reflecting changes in their diet. There were no clear temporal trends in bulk delta(15)N signatures of N. marionis. However, compound-specific delta(15)N measurements of amino acids indicated that N. marionis from the inter-island realm occupied the trophic level of second order carnivores, while similarly sized shrimps in the near-shore realm were at the trophic level of first order carnivores. Compound-specific measurements also identified a change in the source of inorganic nitrogen at the base of the food web between the inter-island and near-shore realms. In contrast to the bulk delta(15)N values, a significant shift in bulk delta(13)C values of N. marionis was observed between 1984 and more recent years. This temporal change appears to be linked to changes in the overall productivity of the Prince Edward Island inter-island system, which could be linked to global climate change.</t>
  </si>
  <si>
    <t>Marine Biol Lab, Ctr Ecosyst, Woods Hole, MA 02543 USA; Rhodes Univ, Dept Zool &amp; Entomol, Canc Res Grp, ZA-6140 Grahamstown, South Africa; Georgia Inst Technol, Sch Biol, Atlanta, GA 30332 USA; Univ Ft Hare, Fac Sci &amp; Technol, Dept Zool, ZA-5700 Alice, South Africa</t>
  </si>
  <si>
    <t>Marine Biological Laboratory - Woods Hole; Rhodes University; University System of Georgia; Georgia Institute of Technology; University of Fort Hare</t>
  </si>
  <si>
    <t>Pakhomov, EA (corresponding author), Univ British Columbia, Dept Earth &amp; Ocean Sci, 6339 Stores Rd, Vancouver, BC V6T 1Z4, Canada.</t>
  </si>
  <si>
    <t>epakhomov@eos.ubc.ca</t>
  </si>
  <si>
    <t>McClelland, James W/IWE-5143-2023; Bernard, Kim S/J-2703-2013; Montoya, Joseph/C-3115-2013</t>
  </si>
  <si>
    <t>McClelland, James W/0000-0001-9619-8194; Montoya, Joseph/0000-0001-7197-4660</t>
  </si>
  <si>
    <t>10.1007/s00227-003-1196-3</t>
  </si>
  <si>
    <t>767WE</t>
  </si>
  <si>
    <t>WOS:000188496200012</t>
  </si>
  <si>
    <t>Williams, JL; Biesiot, PM</t>
  </si>
  <si>
    <t>Lipids and fatty acids of the benthic marine harpacticoid copepod Heteropsyllus nunni Coull during diapause:: a contrast to pelagic copepods</t>
  </si>
  <si>
    <t>DOMINANT ANTARCTIC COPEPODS; CYCLOPS-SCUTIFER SARS; FRESH-WATER COPEPODS; LIFE-CYCLE; WAX ESTERS; EUDIAPTOMUS-GRACILOIDES; CALANUS-FINMARCHICUS; COMMUNITY STRUCTURE; CALANOIDES-ACUTUS; NORTHERN NORWAY</t>
  </si>
  <si>
    <t>Many free-living copepods produce and store lipids prior to entering diapause (long-term dormancy). Heteropsyllus nunni Coull is the only marine harpacticoid copepod known to undergo any form of diapause. This study presents the first information on the types of lipids and fatty acids produced for long-term diapause in this benthic species. Sexually immature adults of H. nunni undergo diapause within a pliable self-made cyst. Prior to entering diapause (which lasts 3-4 months), they produce and store large amounts of orange lipid. The lipids apparently are utilized during diapause. Although some residual lipids remain, chiefly around the gonads, after the copepods emerge from their cysts, the lipid stores are visibly reduced. Typically, the copepods mate and produce eggs within 48 h after diapause is terminated. Light level and confocal laser scanning microscopy revealed that the lipid stores are distributed throughout the body in numerous oil droplets and not as a single oil sac, as seen in many marine calanoid copepods prior to overwintering (winter diapause). Transmission electron microscopy showed lipid spheres within the gut epithelium and large droplets of lipids stored extracellularly. Confocal laser scanning microscopy of copepods in pre-diapause, during diapause (encysted), post-diapause (recently excysted), and in reproductive condition, revealed that lipid stores are reduced following diapause, but are not totally absent. Analysis of lipid classes showed that H. nunni store predominantly wax esters/sterol esters (83% of total lipids) during diapause. The predominant lipid is most likely wax esters, as sterol esters typically are found only in small amounts in copepods. Fatty acid (FA) profiles of the copepods in diapause showed 16:0 to be most abundant followed by 16:1n-7 and 18:0; other FA occurred at concentrations &lt;10% of total FA. Three polyunsaturated fatty acids (PUFA), 20:5n-3, 18:2n-6 and 20:4n-6, were found at concentrations &lt;2% of total FA. These PUFA are 'essential fatty acids' in H. nunni, obtained through dietary sources. The lipid classes and fatty acids present in H. nunni during diapause are compared to those of other copepods, some in a state of diapause and others not. It appears that lipid class and FA profiles are indicative of genetic makeup, type of diet or amount of food consumed prior to dormancy. Some classic paradigms of lipids and their association with copepod diapause are re-evaluated.</t>
  </si>
  <si>
    <t>Univ So Mississippi Gulf Coast, Dept Biol Sci, Div Sci &amp; Technol, Long Beach, MS 39560 USA; Univ So Mississippi, Dept Biol Sci, Hattiesburg, MS 39406 USA</t>
  </si>
  <si>
    <t>University of Southern Mississippi; University of Southern Mississippi</t>
  </si>
  <si>
    <t>Williams, JL (corresponding author), Univ So Mississippi Gulf Coast, Dept Biol Sci, Div Sci &amp; Technol, Long Beach, MS 39560 USA.</t>
  </si>
  <si>
    <t>Judith.Williams@usm.edu</t>
  </si>
  <si>
    <t>10.1007/s00227-003-1189-2</t>
  </si>
  <si>
    <t>WOS:000188496200014</t>
  </si>
  <si>
    <t>Crosta, X; Sturm, A; Armand, L; Pichon, JJ</t>
  </si>
  <si>
    <t>Late Quaternary sea ice history in the Indian sector of the Southern Ocean as recorded by diatom assemblages</t>
  </si>
  <si>
    <t>MARINE MICROPALEONTOLOGY</t>
  </si>
  <si>
    <t>paleoceanography; Antarctic Ocean; sea ice; diatoms</t>
  </si>
  <si>
    <t>CLIMATE SWITCH; RECONSTRUCTION; PHYTOPLANKTON; HEMISPHERE; SEDIMENTS; MAXIMUM; CORE; BELT; EDGE; CO2</t>
  </si>
  <si>
    <t>A Modern Analog Technique (MAT(5)201/31) has been applied to fossil diatom assemblages to provide down-core estimates of February sea-surface temperatures (SSTs) and of sea ice duration over the past 220 000 years at 56degrees40' S, 160degrees14'E. At the core location, sea ice progression lagged the SST drop by similar to I ka at interglacial-glacial transitions, and sea ice retreat was almost synchronous to the SST increase at glacial-interglacial terminations. Sea ice increased continuously during glacial periods to reach its maximum extent at the end of glacial times, although SSTs were almost constant during glacials. This indicates that SSTs are the major parameter determining the advance and retreat of sea ice at transitions, but that the sea ice advance during glacial conditions may be related to positive feedbacks of the ice on albedo, air temperature and meridional wind stress. The strong correlation (r=0.75) between sea ice duration at the core location and the Vostok CO2 record argues for a control of Antarctic sea ice extent on atmospheric CO2 concentration via the modification of the ocean-to-atmosphere gas balance. (C) 2003 Elsevier B.V. All rights reserved.</t>
  </si>
  <si>
    <t>Univ Bordeaux 1, EPOC, CNRS, UMR 5805,Dept Geol &amp; Oceanog, F-33405 Talence, France; Univ Kiel, GEOMAR, Res Ctr Marine Geosci, D-24148 Kiel, Germany; Univ Tasmania, Antarct CRC, Hobart, Tas 7001, Australia</t>
  </si>
  <si>
    <t>Centre National de la Recherche Scientifique (CNRS); CNRS - National Institute for Earth Sciences &amp; Astronomy (INSU); Universite de Bordeaux; University of Kiel; Helmholtz Association; GEOMAR Helmholtz Center for Ocean Research Kiel; University of Tasmania</t>
  </si>
  <si>
    <t>Univ Bordeaux 1, EPOC, CNRS, UMR 5805,Dept Geol &amp; Oceanog, Ave Fac, F-33405 Talence, France.</t>
  </si>
  <si>
    <t>crosta@epoc.u-bordeaux.fr; asturm@geomar.de; leanne.armand@utas.edu.au; pichon@epoc.u-bordeaux.fr</t>
  </si>
  <si>
    <t>Armand, Leanne K/C-9004-2009</t>
  </si>
  <si>
    <t>Armand, Leanne/0000-0003-3995-308X</t>
  </si>
  <si>
    <t>0377-8398</t>
  </si>
  <si>
    <t>1872-6186</t>
  </si>
  <si>
    <t>MAR MICROPALEONTOL</t>
  </si>
  <si>
    <t>Mar. Micropaleontol.</t>
  </si>
  <si>
    <t>10.1016/S0377-8398(03)00072-0</t>
  </si>
  <si>
    <t>800DG</t>
  </si>
  <si>
    <t>WOS:000220008500003</t>
  </si>
  <si>
    <t>[Anonymous]</t>
  </si>
  <si>
    <t>Canada ratifies Antarctic treaty</t>
  </si>
  <si>
    <t>News Item</t>
  </si>
  <si>
    <t>801NL</t>
  </si>
  <si>
    <t>WOS:000220102500008</t>
  </si>
  <si>
    <t>Goerke, H; Weber, K; Bornemann, H; Ramdohr, S; Plötz, J</t>
  </si>
  <si>
    <t>Increasing levels and biomagnification of persistent organic pollutants (POPS) in Antarctic biota</t>
  </si>
  <si>
    <t>halogenated hydrocarbons; POPs; long-range transport; temporal trend; food webs; bioaccumulation; biomagnification; Antarctic</t>
  </si>
  <si>
    <t>ORGANOCHLORINE CONTAMINANTS; WEDDELL SEALS; POLYCHLORINATED-BIPHENYLS; FISH; PESTICIDES; TRENDS; AIR; BIOACCUMULATION; TRANSPORT; CHEMICALS</t>
  </si>
  <si>
    <t>Representatives of the Antarctic food web (krill, cephalopod, fish, penguin, seal) of the area around Elephant Island and from the Weddell Sea were analysed for the most recalcitrant organochlorine compounds. Due to sorption of the compounds to sinking particles and accumulation in sediments, two benthic fish species (Gobionotothen gibberifrons, Chaenocephalus aceratus) feeding on benthos invertebrates and fish reflected significantly increasing concentrations within a decade (1987-1996), while a benthopelagic species (Champsocephalus gunnari) feeding on krill did not. In the pelagic food chain, lipid normalised concentrations of all compounds increased from Antarctic krill to fish proving that biomagnification of highly lipophilic pollutants (log octanol-water partition coefficient &gt; 5) occurs in water-breathing animals. As top predators Weddell and southern elephant seals (Leptonychotes weddellii, Mirounga leonina) biomagnified the persistent organic pollutants relative to krill 30-160 fold with the exception of hexachlorobenzene, the levels of which were lower than in fish indicating its intense specific elimination. (C) 2003 Elsevier Ltd. All rights reserved.</t>
  </si>
  <si>
    <t>Alfred Wegener Inst Polar &amp; Marine Res, Postfach 120161, D-27515 Bremerhaven, Germany.</t>
  </si>
  <si>
    <t>hgoerke@awi-bremerhaven.de</t>
  </si>
  <si>
    <t>10.1016/j.marpolbul.2003.08.004</t>
  </si>
  <si>
    <t>WOS:000220102500022</t>
  </si>
  <si>
    <t>Wee, TK; Kuo, YH</t>
  </si>
  <si>
    <t>Impact of a digital filter as a weak constraint in MM5 4DVAR: An observing system simulation experiment</t>
  </si>
  <si>
    <t>MONTHLY WEATHER REVIEW</t>
  </si>
  <si>
    <t>VARIATIONAL DATA ASSIMILATION; NORMAL-MODE INITIALIZATION; NUMERICAL WEATHER PREDICTION; UPPER BOUNDARY-CONDITION; DIFFERENT TIME SCALES; DIFFERENTIAL-EQUATIONS; HIRLAM MODEL; ATMOSPHERE; CONVECTION; 4D-VAR</t>
  </si>
  <si>
    <t>In this study, a digital filter is introduced into the fifth-generation Pennsylvania State University - National Center for Atmospheric Research Mesoscale Model (MM5) four-dimensional variational data assimilation (4DVAR) system as a weak constraint to control high-frequency oscillations, which negatively affect assimilation performance. To assess the impact of the digital filter and to understand how the digital-filter 4DVAR functions, a series of observing system simulation experiments are conducted with the assimilation of global positioning system (GPS) refractivity soundings for a cyclogenesis case over the Antarctic region. It is shown that the use of a digital filter, centered at the midpoint of the assimilation period, is effective in suppressing the high-frequency waves. The imbalance during the early period of assimilation is further reduced by utilizing an additional short-span filter, starting at the beginning of the assimilation period. The filtering of the wind field is found to be the most effective in suppressing high-frequency oscillations. It is also revealed that the imposed weak constraint significantly reduces the wave-reflection problem caused by imperfect upper boundary conditions. It is concluded that the weakly constrained 4DVAR with digital filters not only reduces dynamic imbalance, but also significantly improves the qualities of analysis and forecast. Without projecting its solution onto the high-frequency waves, which diminish rapidly with forecast time, the constrained 4DVAR is able to yield additional improvement in the model initial condition in the larger-scale range and hence utilizes the available observations more effectively when compared with the unconstrained 4DVAR.</t>
  </si>
  <si>
    <t>Univ Corp Atmospher Res, Boulder, CO USA</t>
  </si>
  <si>
    <t>National Center Atmospheric Research (NCAR) - USA</t>
  </si>
  <si>
    <t>Wee, TK (corresponding author), POB 3000, Boulder, CO 80307 USA.</t>
  </si>
  <si>
    <t>wee@ucar.edu</t>
  </si>
  <si>
    <t>0027-0644</t>
  </si>
  <si>
    <t>MON WEATHER REV</t>
  </si>
  <si>
    <t>Mon. Weather Rev.</t>
  </si>
  <si>
    <t>10.1175/1520-0493(2004)132&lt;0543:IOADFA&gt;2.0.CO;2</t>
  </si>
  <si>
    <t>773HV</t>
  </si>
  <si>
    <t>WOS:000188893900008</t>
  </si>
  <si>
    <t>Pavolonis, MJ; Key, JR; Cassano, JJ</t>
  </si>
  <si>
    <t>A study of the Antarctic surface energy budget using a Polar regional atmospheric model forced with satellite-derived cloud properties</t>
  </si>
  <si>
    <t>CLIMATE SYSTEM MODEL; RADIATIVE-TRANSFER; SEA-ICE; MM5 SIMULATIONS; VALIDATION; GREENLAND; BALANCE; REGCM2</t>
  </si>
  <si>
    <t>Cloud properties from the newly extended Advanced Very High Resolution Radiometer (AVHRR) Polar Pathfinder (APP-x) dataset were incorporated into the atmospheric component of the Arctic Regional Climate System Model (ARCSyM) in order to improve the simulation of the Antarctic surface energy balance. A method for using the APP-x cloud properties in 48-h model simulations is presented. In the experiments, the model cloud fields were altered via the water vapor mixing ratio using cloud properties from the APP-x dataset. Significant improvements in monthly mean downwelling longwave radiation at the surface were observed relative to surface measurements. In the austral summer, the use of the APP-x dataset resulted in improvements as large as 30 W m(-2) at the South Pole when compared to model results without APP-x clouds. However, only a very small improvement was seen in the turbulent heat fluxes and the surface temperature. It was also found that the satellite data can be used to shorten the model spinup'' time and may be useful in model initialization for short duration forecasts.</t>
  </si>
  <si>
    <t>Univ Wisconsin, Cooperat Inst Meteorol Satellite Studies, Madison, WI 53706 USA; NOAA, Off Res &amp; Applicat, NESDIS, Madison, WI USA; Univ Colorado, Cooperat Inst Res Environm Sci, Boulder, CO 80309 USA</t>
  </si>
  <si>
    <t>University of Wisconsin System; University of Wisconsin Madison; National Oceanic Atmospheric Admin (NOAA) - USA; University of Colorado System; University of Colorado Boulder</t>
  </si>
  <si>
    <t>Univ Wisconsin, Cooperat Inst Meteorol Satellite Studies, 1225 W Dayton St, Madison, WI 53706 USA.</t>
  </si>
  <si>
    <t>mpav@ssec.wisc.edu</t>
  </si>
  <si>
    <t>Key, Jeffrey R./AAB-7248-2020; Cassano, John/HKW-8817-2023; Pavolonis, Mike/F-5618-2010</t>
  </si>
  <si>
    <t>Pavolonis, Mike/0000-0001-5822-219X</t>
  </si>
  <si>
    <t>1520-0493</t>
  </si>
  <si>
    <t>10.1175/1520-0493(2004)132&lt;0654:ASOTAS&gt;2.0.CO;2</t>
  </si>
  <si>
    <t>WOS:000188893900015</t>
  </si>
  <si>
    <t>Fahrbach, E; Hoppema, M; Rohardt, G; Schröder, M; Wisotzki, A</t>
  </si>
  <si>
    <t>Decadal-scale variations of water mass properties in the deep Weddell Sea</t>
  </si>
  <si>
    <t>OCEAN DYNAMICS</t>
  </si>
  <si>
    <t>Southern Ocean; Weddell Sea; water mass variability; time series; temperature; salinity</t>
  </si>
  <si>
    <t>ANTARCTIC CIRCUMPOLAR CURRENT; BOTTOM WATER; SOUTHERN-OCEAN; SURFACE TEMPERATURES; ICE SHELF; VARIABILITY; CIRCULATION; TRANSPORT; STRATIFICATION; TRENDS</t>
  </si>
  <si>
    <t>Data from cruises between 1989 and 2003 with FS Polarstern were used to construct section-wide potential temperature and salinity time series of the main water masses in the Weddell Gyre. In tandem with these CTD data, two time series between 1989 and 1995 are presented from moored instruments in the central Weddell Sea. The regional and methodological consistency of the dataset allows us to quantify variations which are not visible in less homogeneous datasets. The data reveal significant temperature and salinity variations of the Warm Deep Water and the Weddell Sea Bottom Water on a decadal time scale. The longest time series were obtained at the prime meridian. Here warming is observed in the Warm Deep Water from 1992 to 1998 followed by cooling. In the Weddell Sea proper, measurements of instruments moored in the Weddell Sea Bottom Water layer recorded a temperature increase over 6 years at a rate of 0.01 degreesC a(-1). After the mooring period, CTD casts in 1998 point to a weakening of the trend. The warming trend in the bottom water occurs over most of the Weddell Sea, as detected in the additional CTD surveys. The variations are close to the detection level in the voluminous Weddell Sea Deep Water. The initial warming trend of the Warm Deep Water is consistent with warming trends reported in literature of subsurface waters of the Antarctic Circumpolar Current. The reversal of the trend in the Weddell Sea seems to be related to variations of the atmospheric conditions which can affect both the intrusion of Circumpolar Deep Water from the north and the circulation of the Weddell Gyre. Because the Warm Deep Water is the major source water for the formation of deep and bottom water in the Weddell Sea, it is suggested that its increase in temperature and salinity is likely to at least partly cause the variations which were observed in the bottom water.</t>
  </si>
  <si>
    <t>Alfred Wegener Inst Polar &amp; Marine Res, Climate Syst Dept, D-27515 Bremerhaven, Germany</t>
  </si>
  <si>
    <t>Alfred Wegener Inst Polar &amp; Marine Res, Climate Syst Dept, POB 120161, D-27515 Bremerhaven, Germany.</t>
  </si>
  <si>
    <t>efahrbach@awi-bremerhaven.de</t>
  </si>
  <si>
    <t>Hoppema, Mario/I-6286-2013</t>
  </si>
  <si>
    <t>Hoppema, Mario/0000-0002-2326-619X</t>
  </si>
  <si>
    <t>1616-7341</t>
  </si>
  <si>
    <t>1616-7228</t>
  </si>
  <si>
    <t>OCEAN DYNAM</t>
  </si>
  <si>
    <t>Ocean Dyn.</t>
  </si>
  <si>
    <t>10.1007/s10236-003-0082-3</t>
  </si>
  <si>
    <t>852OI</t>
  </si>
  <si>
    <t>WOS:000223765800008</t>
  </si>
  <si>
    <t>Edwards, HGM</t>
  </si>
  <si>
    <t>Raman spectroscopic protocol for the molecular recognition of key biomarkers in astrobiological exploration</t>
  </si>
  <si>
    <t>ORIGINS OF LIFE AND EVOLUTION OF THE BIOSPHERE</t>
  </si>
  <si>
    <t>astrobiological instrumentation; biogeological modification; molecular recognition; Raman spectroscopy; remote sensing; spectral biomarkers</t>
  </si>
  <si>
    <t>IN-SITU; MARS; LIFE; SURFACE; ORIGIN; PHOTOSYNTHESIS; ULTRAVIOLET; METEORITES; EVOLUTION; HABITATS</t>
  </si>
  <si>
    <t>Raman spectroscopy is proposed as novel instrumentation for the remote, robotic exploration of planetary surfaces, especially Mars. In recent years, information about the chemicals produced by organisms at the terrestrial limits of life, such as those surviving in Antarctic habitats, has facilitated the assembly of a spectral database of key biomarkers. In addition biogeological modifications which are essential for the survival strategies of environmentally stressed organisms have been identified. In this paper, the requirements for Raman spectroscopic instrumental detection of key bio - and bio-geological markers are outlined and a preliminary protocol established for the molecular spectral recognition of biological signatures in remote astrobiological exploration.</t>
  </si>
  <si>
    <t>Univ Bradford, Dept Chem &amp; Forens Sci, Bradford BD7 1DP, W Yorkshire, England</t>
  </si>
  <si>
    <t>University of Bradford</t>
  </si>
  <si>
    <t>Edwards, HGM (corresponding author), Univ Bradford, Dept Chem &amp; Forens Sci, Bradford BD7 1DP, W Yorkshire, England.</t>
  </si>
  <si>
    <t>KLUWER ACADEMIC PUBL</t>
  </si>
  <si>
    <t>DORDRECHT</t>
  </si>
  <si>
    <t>VAN GODEWIJCKSTRAAT 30, 3311 GZ DORDRECHT, NETHERLANDS</t>
  </si>
  <si>
    <t>0169-6149</t>
  </si>
  <si>
    <t>ORIGINS LIFE EVOL B</t>
  </si>
  <si>
    <t>Orig. Life Evol. Biosph.</t>
  </si>
  <si>
    <t>10.1023/B:ORIG.0000009824.38510.9a</t>
  </si>
  <si>
    <t>756ZX</t>
  </si>
  <si>
    <t>WOS:000187516600002</t>
  </si>
  <si>
    <t>Chenuil, A; Gault, A; Féral, JP</t>
  </si>
  <si>
    <t>Paternity analysis in the Antarctic brooding sea urchin Abatus nimrodi.: A pilot study</t>
  </si>
  <si>
    <t>CORDATUS ECHINODERMATA; REPRODUCTIVE-CYCLE; SPERM CHEMOTAXIS; MATING-BEHAVIOR; HOLOTHUROIDEA; SPATANGOIDA; SHACKLETONI; ASTEROIDEA; SOUND</t>
  </si>
  <si>
    <t>The genus Abatus (Echinoidea: Spatangoida: Schizasteridae), endemic to the Southern Ocean, consists of several species which, like many other Antarctic marine invertebrates, brood their offspring. The modality of fertilization is not known in these species, whose direct observation and sampling are difficult. Parentage analyses by means of molecular markers may help to gain information on this stage of the life-cycle. In this pilot study, we analysed a brooding female and her offspring with dominant molecular markers-RAPD (Random Amplified Polymorphic DNA). We established that each cohort present in the brooding pouches, i.e. gastrulae and juveniles, originated from at least two distinct father genotypes. Our original method of analysis of dominant marker data should have vast applications since it allows one to test, not only (1) the hypothesis that the progeny of a given mother originates from a single father, but also (2) the temporal stability of the paternal gene pool.</t>
  </si>
  <si>
    <t>Observ Oceanol Banyuls, CNRS, UMR7628, F-66650 Banyuls sur Mer, France</t>
  </si>
  <si>
    <t>Centre National de la Recherche Scientifique (CNRS); Sorbonne Universite</t>
  </si>
  <si>
    <t>Chenuil, A (corresponding author), Observ Oceanol Banyuls, CNRS, UMR7628, BP44 Ave Fontaule, F-66650 Banyuls sur Mer, France.</t>
  </si>
  <si>
    <t>chenuil@comuniv-mrs.fr</t>
  </si>
  <si>
    <t>FERAL, Jean-Pierre/M-9608-2019; FERAL, Jean-Pierre/A-8199-2008; CHENUIL, Anne/E-3902-2012; Feral, Jean-Pierre/C-8368-2012</t>
  </si>
  <si>
    <t>FERAL, Jean-Pierre/0000-0001-7627-0160; FERAL, Jean-Pierre/0000-0001-7627-0160;</t>
  </si>
  <si>
    <t>10.1007/s00300-003-0576-y</t>
  </si>
  <si>
    <t>770DE</t>
  </si>
  <si>
    <t>WOS:000188707300005</t>
  </si>
  <si>
    <t>Pérez-Torres, E; Dinamarca, J; Bravo, LA; Corcuera, LJ</t>
  </si>
  <si>
    <t>Responses of Colobanthus quitensis (Kunth) Bartl. to high light and low temperature</t>
  </si>
  <si>
    <t>ANTARCTIC VASCULAR PLANTS; ANTIOXIDANT ENZYMES; OXIDATIVE-STRESS; CHLOROPHYLL FLUORESCENCE; PHOTOOXIDATIVE STRESS; SUPEROXIDE DISMUTASES; MAIZE SEEDLINGS; ACID; CHLOROPLASTS; ACCLIMATION</t>
  </si>
  <si>
    <t>Antarctic plants are exposed to high light and low temperature during their natural growing season. Therefore, the maintenance of an oxidative status compatible with normal metabolism is an important determinant for their survival. We hypothesized that Colobanthus quitensis, the only dicotyledonous plant from the Antarctic, has efficient energy-dissipating mechanisms, and/or high antioxidant capacity. A short time treatment (24 h) of high light and/or low temperature reduced maximum photochemical quantum yield (Fv/Fm), photochemical quenching (qP), and the quantum yield of PSII (PhiPSII). Concomitantly, an increase in the nonphotochemical quenching (qN) was observed. Superoxide dismutase (SOD) activity increased after cold acclimation. High light and low temperature did not significantly affect SOD, ascorbate peroxidase (APx), and glutathione reductase (GR) in nonacclimated plants. Total soluble antioxidants and carotenoids decreased after cold acclimation. Thus, it is likely that the main mechanism of C. quitensis to cope with energy imbalance is heat dissipation, as evidenced by the great increase in qN.</t>
  </si>
  <si>
    <t>Univ Concepcion, Fac Ciencias Nat &amp; Oceanog, Dept Bot, Concepcion, Chile</t>
  </si>
  <si>
    <t>Universidad de Concepcion</t>
  </si>
  <si>
    <t>Univ Concepcion, Fac Ciencias Nat &amp; Oceanog, Dept Bot, Casilla 160-C, Concepcion, Chile.</t>
  </si>
  <si>
    <t>lcorcuer@udec.cl</t>
  </si>
  <si>
    <t>Bravo, Leon/H-9251-2018; Corcuera, Luis J/G-1714-2014; Bravo, León/AAO-8437-2020; dinamarca, jorge/T-7065-2017</t>
  </si>
  <si>
    <t>Bravo, Leon/0000-0003-4705-4842; Bravo, León/0000-0003-4705-4842;</t>
  </si>
  <si>
    <t>10.1007/s00300-003-0577-x</t>
  </si>
  <si>
    <t>WOS:000188707300006</t>
  </si>
  <si>
    <t>Bridge, PD; Worland, MR</t>
  </si>
  <si>
    <t>First report of an entomophthoralean fungus on an arthropod host in Antarctica</t>
  </si>
  <si>
    <t>NEOZYGITES-FLORIDANA; MITES; TETRANYCHIDAE; ACARI</t>
  </si>
  <si>
    <t>A species of the fungus Neozygites (Zygomycetes: Entomophthorales) is recorded from the Antarctic mite Alaskozetes antarcticus (Acarina: Oribatidales) collected off the west coast of the Antarctic peninsula. The features of the fungus were similar to those recorded for Neozygites acaridis, and to other species of the genus recorded from mites in tropical and cool-temperate regions. This is the first report of any entomophthoralean fungus from the Antarctic region.</t>
  </si>
  <si>
    <t>pdbr@bas.ac.uk</t>
  </si>
  <si>
    <t>10.1007/s00300-003-0578-9</t>
  </si>
  <si>
    <t>WOS:000188707300007</t>
  </si>
  <si>
    <t>Ryabinkin, IG; Novakovskaya, YV</t>
  </si>
  <si>
    <t>Nonempirical description of the atmospherically important anionic species. II. Hydrated ozone anions</t>
  </si>
  <si>
    <t>STRUCTURAL CHEMISTRY</t>
  </si>
  <si>
    <t>ozone; hydrated anion; electron affinity; electron density distribution; surface and interior coordination</t>
  </si>
  <si>
    <t>LYING ELECTRONIC STATES; ANTARCTIC OZONE; WATER CLUSTERS</t>
  </si>
  <si>
    <t>Ozone-water clusters are nonempirically modeled in the complete active space self-consistent field approximation (CASSCF) with the energetic estimates obtained at the multiconfiguration quaside-generate perturbation theory level (MCQDPT) with 6-31++G** basis set. Coordination of a neutral ozone molecule to small water clusters is either surface or interior, with the binding energy of the order of a weak hydrogen bond. Upon localization of an excess electron, the hydration of ozone becomes strong. The adiabatic affinities of water-ozone clusters and the energies of electron detachment from their anions, depending on the number of water molecules, estimate the electron hydration and vertical electron detachment thresholds of water or ice that superficially coordinates minor amounts of ozone.</t>
  </si>
  <si>
    <t>Moscow MV Lomonosov State Univ, Dept Chem, Lab Quantum Mech &amp; Mol Struct, Moscow, Russia</t>
  </si>
  <si>
    <t>Lomonosov Moscow State University</t>
  </si>
  <si>
    <t>Novakovskaya, YV (corresponding author), Moscow MV Lomonosov State Univ, Dept Chem, Lab Quantum Mech &amp; Mol Struct, Leninskie Gory, Moscow, Russia.</t>
  </si>
  <si>
    <t>Ryabinkin, Ilya/0000-0002-7679-632X</t>
  </si>
  <si>
    <t>KLUWER ACADEMIC/PLENUM PUBL</t>
  </si>
  <si>
    <t>1040-0400</t>
  </si>
  <si>
    <t>STRUCT CHEM</t>
  </si>
  <si>
    <t>Struct. Chem.</t>
  </si>
  <si>
    <t>10.1023/B:STUC.0000010470.96939.5d</t>
  </si>
  <si>
    <t>Chemistry, Multidisciplinary; Chemistry, Physical; Crystallography</t>
  </si>
  <si>
    <t>Chemistry; Crystallography</t>
  </si>
  <si>
    <t>758PN</t>
  </si>
  <si>
    <t>WOS:000187659500009</t>
  </si>
  <si>
    <t>Bezrukov, DS; Novakovskaya, YV</t>
  </si>
  <si>
    <t>Nonempirical description of the atmospherically important anionic species. III. Hydrated nitrogen dioxide anions</t>
  </si>
  <si>
    <t>nitrogen dioxide; hydrated anion; electron affinity; vertical electron detachment; structure</t>
  </si>
  <si>
    <t>ANTARCTIC OZONE; ELECTRONIC-STRUCTURE; CHARGE-TRANSFER; NO2; AFFINITIES; CHLORINE; SYSTEM</t>
  </si>
  <si>
    <t>Neutral and negatively charged NO2(H2O)(n) clusters are simulated at the second order of the Moller-Plesset perturbation theory with 6-31G basis set extended with diffuse and polarization functions on all nuclei. For better reliability, configuration interaction and multiconfiguration self-consistent field calculations with the active spaces, formed by all single and double excitations to the basic determinant, are carried out. The weak binding of a neutral NO2 molecule to water clusters is provided by its coordination to two water molecules, either directly H bonded to each other or joined in an H-bond network via the third molecule. The presence of an excess electron strongly decreases the summary energy of the NO2(H2O)(n) system, so that its adiabatic affinity exceeds the summary affinity of NO2 and water system, although the excess electron is localized predominantly by NO2 fragment.</t>
  </si>
  <si>
    <t>Bezrukov, DS (corresponding author), Moscow MV Lomonosov State Univ, Dept Chem, Lab Quantum Mech &amp; Mol Struct, Leninskie Gory, Moscow, Russia.</t>
  </si>
  <si>
    <t>Bezrukov, Dmitry S/R-8968-2016</t>
  </si>
  <si>
    <t>Bezrukov, Dmitriy/0000-0002-3173-2146</t>
  </si>
  <si>
    <t>10.1023/B:STUC.0000010471.48863.58</t>
  </si>
  <si>
    <t>WOS:000187659500010</t>
  </si>
  <si>
    <t>Bondarenko, S; Kontrimavichus, V</t>
  </si>
  <si>
    <t>On Branchiopodataenia n. g., parasitic in gulls, and its type-species, B-anaticapicirra n. sp (Cestoda: Hymenolepididae)</t>
  </si>
  <si>
    <t>SYSTEMATIC PARASITOLOGY</t>
  </si>
  <si>
    <t>WARDIUM; MORPHOLOGY</t>
  </si>
  <si>
    <t>Branchiopodataenia n. g. is established for hymenolepidid cestodes characterised by the presence of a specific morphological feature, a latch-like structure in the copulatory part of the vagina. Their life-cycles involve branchiopod crustaceans (Branchiopoda) as intermediate hosts and gulls as definitive hosts. The type-species of the genus, B. anaticapicirra n. sp. from gulls of Chukotka (Chaun lowlands) and Alaska (River Yukon, Cape Barrow), is described. It is established that B. arctowskii (Jarecka &amp; Ostas, 1984) n. comb. (originally Hymenolepis) has a bipolar distribution and is not endemic to the Antarctic. A description of B. arctowskii from the northern hemisphere and the principal characters of other known species of this genus, B. gvozdevi (Maksimova, 1988) n. comb. (originally Wardium), B. haldemani (Schiller, 1951) n. comb. (originally Hymenolepis) and B. pacifica (Spassky &amp; Jurpalova, 1968) n. comb. (originally Wardium), are included. A key to the species of Branchiopodataenia is also presented.</t>
  </si>
  <si>
    <t>Vilnius State Univ, Inst Ecol, LT-2600 Vilnius, Lithuania</t>
  </si>
  <si>
    <t>Vilnius University</t>
  </si>
  <si>
    <t>Vilnius State Univ, Inst Ecol, Akademijos 2, LT-2600 Vilnius, Lithuania.</t>
  </si>
  <si>
    <t>0165-5752</t>
  </si>
  <si>
    <t>1573-5192</t>
  </si>
  <si>
    <t>SYST PARASITOL</t>
  </si>
  <si>
    <t>Syst. Parasitol.</t>
  </si>
  <si>
    <t>10.1023/B:SYPA.0000013857.68680.32</t>
  </si>
  <si>
    <t>Parasitology</t>
  </si>
  <si>
    <t>769DD</t>
  </si>
  <si>
    <t>WOS:000188610400004</t>
  </si>
  <si>
    <t>Suzuki, T; Kamiyama, K; Furukawa, T; Fujii, Y</t>
  </si>
  <si>
    <t>Lead-210 profile in firn layer over Antarctic ice sheet and its relation to the snow accumulation environment</t>
  </si>
  <si>
    <t>TELLUS SERIES B-CHEMICAL AND PHYSICAL METEOROLOGY</t>
  </si>
  <si>
    <t>DRONNING MAUD LAND; DOME FUJI; CORE; RADIONUCLIDES; STATION; FALLOUT</t>
  </si>
  <si>
    <t>Vertical distributions of Pb-210 in surface firn were obtained at five locations in east Dronning Maud Land, Antarctica. The distributions obtained in the inland high-plateau region are well described by the theoretical radioactive decay curve. On the other hand, the distributions obtained in the katabatic wind region have significant fluctuations including intervals where higher activity is found below layers with lower activity. We examined the relationship between the fluctuation of the Pb-210 profile and the temporal variation of the snow accumulation rate obtained by the snow stake method, and found a clear negative correlation between them. This result suggests that the fluctuation of the Pb-210 profile in the firn layer is closely related to the environment in the ice sheet surface, i.e. the extent of erosion-redistribution of Snow. The measurement of the Pb-210 distribution in the ice sheet will be useful as an indicator of the surface stability in the Antarctic ice sheet.</t>
  </si>
  <si>
    <t>Yamagata Univ, Fac Sci, Dept Earth &amp; Environm Sci, Yamagata 9908560, Japan; Natl Inst Polar Res, Itabashi Ku, Tokyo 1738515, Japan</t>
  </si>
  <si>
    <t>Yamagata University; Research Organization of Information &amp; Systems (ROIS); National Institute of Polar Research (NIPR) - Japan</t>
  </si>
  <si>
    <t>Suzuki, T (corresponding author), Yamagata Univ, Fac Sci, Dept Earth &amp; Environm Sci, Yamagata 9908560, Japan.</t>
  </si>
  <si>
    <t>suzuki@sci.kj.yamagata-u.ac.jp</t>
  </si>
  <si>
    <t>BLACKWELL MUNKSGAARD</t>
  </si>
  <si>
    <t>COPENHAGEN</t>
  </si>
  <si>
    <t>35 NORRE SOGADE, PO BOX 2148, DK-1016 COPENHAGEN, DENMARK</t>
  </si>
  <si>
    <t>0280-6509</t>
  </si>
  <si>
    <t>TELLUS B</t>
  </si>
  <si>
    <t>Tellus Ser. B-Chem. Phys. Meteorol.</t>
  </si>
  <si>
    <t>10.1111/j.1600-0889.2004.00089.x</t>
  </si>
  <si>
    <t>775XE</t>
  </si>
  <si>
    <t>WOS:000189085300006</t>
  </si>
  <si>
    <t>Murphy, EJ; Watkins, JL; Meredith, MP; Ward, P; Trathan, PN; Thorpe, SE</t>
  </si>
  <si>
    <t>Southern Antarctic Circumpolar Current Front to the northeast of South Georgia: Horizontal advection of krill and its role in the ecosystem</t>
  </si>
  <si>
    <t>Southern Ocean; krill; circulation; ecosystem; South Georgia; food web</t>
  </si>
  <si>
    <t>SEA-ICE EXTENT; EUPHAUSIA-SUPERBA; SCOTIA SEA; FOOD-WEB; ALLOCHTHONOUS INPUT; MACARONI PENGUINS; PELAGIC ECOSYSTEM; MARINE ECOSYSTEM; FUR SEALS; OCEAN</t>
  </si>
  <si>
    <t>During December 2000 and January 2001 we conducted a high-resolution hydrographic and bioacoustic transect (RRS James Clark Ross cruise 57) that extended across the South Georgia shelf from close to Cumberland Bay, across the shelf break and slope and into the deep waters of the Georgia Basin beyond. We observed a high biomass of zooplankton between 53.8degrees and 53.4degreesS associated with the inshore, northwestward flow of the Southern Antarctic Circumpolar Current Front (SACCF) that occurred in around 2500 m of water close to the base of the slope. There was very little zooplankton biomass present in the more offshore, eastward flowing waters where a second manifestation of the SACCF was also present on the section. The region of enhanced zooplankton biomass was over 50 km in horizontal extent with the highest densities (&gt;10 g m(-3)) in the area of strongest flow (&gt;35 cm s(-1)). The majority of the zooplankton present on the section was Antarctic krill and most of it occurred in the upper 100 m. The rate of physically mediated transport of Antarctic krill across the off-shelf sections (similar to10 km) of the transect showed marked variation, with highest rates (&gt;10(6) g s(-1)) associated with the northwestward flow of the SACCF. Farther offshore, where the krill biomass and flow rates were much reduced, the flux of krill was very low. The integrated horizontal flux of krill across the offshore sections was large (192 x 10(3) t d(-1)) and to the northwest. A second occupation of the transect showed that the krill flux is highly variable, and we discuss the various physical and biological factors that will generate such variability. We show that horizontal flux of krill in ocean currents is a major factor in determining the abundance of krill around South Georgia.</t>
  </si>
  <si>
    <t>ejmu@bas.ac.uk</t>
  </si>
  <si>
    <t>murphy, eugene/GZL-1620-2022</t>
  </si>
  <si>
    <t>Thorpe, Sally/0000-0002-5193-6955; Meredith, Michael/0000-0002-7342-7756</t>
  </si>
  <si>
    <t>JAN 31</t>
  </si>
  <si>
    <t>C1</t>
  </si>
  <si>
    <t>C01029</t>
  </si>
  <si>
    <t>10.1029/2002JC001522</t>
  </si>
  <si>
    <t>772XM</t>
  </si>
  <si>
    <t>WOS:000188868100002</t>
  </si>
  <si>
    <t>Doucet, S; Weis, D; Scoates, JS; Debaille, V; Giret, A</t>
  </si>
  <si>
    <t>Geochemical and Hf-Pb-Sr-Nd isotopic constraints on the origin of the Amsterdam-St. Paul (Indian Ocean) hotspot basalts</t>
  </si>
  <si>
    <t>Pb-Hf-Sr-Nd isotopes; Amsterdam-St. Paul Plateau; Southeast Indian Ridge; mantle plume</t>
  </si>
  <si>
    <t>KERGUELEN ARCHIPELAGO BASALTS; RODRIGUEZ TRIPLE JUNCTION; MIDOCEAN RIDGE BASALT; LAVA FLOWS; MANTLE; ISLAND; EVOLUTION; PLUME; ASTHENOSPHERE; PETROGENESIS</t>
  </si>
  <si>
    <t>The Amsterdam-St. Paul (ASP) Plateau is a recent (less than or equal to5 Ma) volcanic rise constructed along the Southeast Indian Ridge (SEIR) by the combined effects of a relatively small mantle plume and a mid-oceanic ridge. The Amsterdam and St. Paul islands are located 100 km away from each other and formed during the last 0.4 Myr; they are the only subaerial features of the ASP Plateau and the two islands are structurally separated by the presence of a SW-NE transform fault. New geochemical analyses and Hf-Pb-Sr-Nd isotopic compositions of 20 basaltic rocks from Amsterdam and St. Paul Islands constrain the nature and origin of the sources involved in the genesis of the ASP hotspot basalts. Aphyric basalts from St. Paul are mildly alkalic, incompatible element-enriched and highly fractionated; they are distinct from the tholeiitic basalts from Amsterdam, from the recently discovered Boomerang active seamount on the ASP Plateau, and from the Kerguelen Archipelago basalts on the Antarctic Plate. The St. Paul and Amsterdam basalts have very limited isotopic variations with distinct Pb-206/Pb-204, Pb-207/Pb-204, Pb-208/Pb-204, and Hf-176/Hf-177 isotopic compositions (19.08 +/- 0.07, 15.61 +/- 0.02, 39.45 +/- 0.12, 0.28313 +/- 0.00003 for Amsterdam, and 18.70 +/- 0.08, 15.56 +/- 0.01, 38.87 +/- 0.05, 0.28306 +/- 0.00002 for St. Paul, respectively) that are not compatible with any direct contribution of the enriched Kerguelen plume end-member. Pb-Nd-Sr isotopic compositions of the St. Paul basalts appear consistent with simple binary mixtures between heterogeneous ambient upper mantle and a highly radiogenic Pb plume component (the ASP plume end-member), particularly expressed in the isotopic compositions of the Amsterdam basalts. However, the Amsterdam basalts have distinctly higher epsilon(Hf) than the St. Paul basalts (+13 and +10, respectively) for a given epsilon(Nd) (+4) and are inconsistent with such a simple binary mixing scenario. Isotopicsystematics in the Amsterdam and St. Paul basalts indicate that the Amsterdam and St. Paul volcanoes were formed by sampling isotopically distinct zones of the ASP plume at a lateral distance of 100 km. Less than 1% variation in the proportion of recycled altered oceanic crust relative to pelagic sediment, combined with minor variations in the proportion of recycled material within the Amsterdam and St. Paul plume sources themselves relative to a peridotitic mantle source, could account for the isotopic differences between the compositions of basalts from these two islands. The particularly high Pb-206/Pb-204 component recorded in the Amsterdam and St. Paul basalts is also locally recorded at different times and locations within other Indian Ocean basalts (e.g. Ninetyeast Ridge basalts, 38 Ma) and such a component has also contaminated the source of SEIR basalts to varying degrees. The particularly high Pb-206/Pb-204 component is therefore not exclusive to the Amsterdam-St. Paul plume but is heterogeneously distributed within the Indian Ocean upper mantle. This may reflect the role of the Indian mantle plumes in dispersing recycled material within the Indian upper mantle. (C) 2003 Elsevier B.V. All rights reserved.</t>
  </si>
  <si>
    <t>Free Univ Brussels, Dept Sci Terre &amp; Environm, B-1050 Brussels, Belgium; Univ Clermont Ferrand, UMR CNRS 6524, Lab Magmas &amp; Volcans, Clermont Ferrand, France; Univ British Columbia, Dept Earth &amp; Ocean Sci, Pacific Ctr Isotop &amp; Geochem Res, Vancouver, BC V6T 1Z4, Canada; Inst Phys Globe, Lab Geochim &amp; Cosmochim, F-75252 Paris, France; Univ St Etienne, CNRS UMR 6524, Lab Magmas &amp; Volcans, F-42023 St Etienne, France</t>
  </si>
  <si>
    <t>Universite Libre de Bruxelles; Centre National de la Recherche Scientifique (CNRS); CNRS - National Institute for Earth Sciences &amp; Astronomy (INSU); Institut de Recherche pour le Developpement (IRD); Universite Clermont Auvergne (UCA); Universite Jean Monnet; University of British Columbia; Universite Paris Cite; Centre National de la Recherche Scientifique (CNRS); Institut de Recherche pour le Developpement (IRD); Universite Clermont Auvergne (UCA); Universite Jean Monnet; CNRS - National Institute for Earth Sciences &amp; Astronomy (INSU)</t>
  </si>
  <si>
    <t>Free Univ Brussels, Dept Sci Terre &amp; Environm, CP 160-02, B-1050 Brussels, Belgium.</t>
  </si>
  <si>
    <t>Weis, Dominique A/Q-7658-2016</t>
  </si>
  <si>
    <t>Weis, Dominique A/0000-0002-6638-5543; Scoates, James/0000-0001-8524-1425; Debaille, Vinciane/0000-0002-6544-4564</t>
  </si>
  <si>
    <t>JAN 30</t>
  </si>
  <si>
    <t>10.1016/S0012-821X(03)00636-8</t>
  </si>
  <si>
    <t>769BM</t>
  </si>
  <si>
    <t>WOS:000188606600013</t>
  </si>
  <si>
    <t>Jenkins, A; Holland, DM; Nicholls, KW; Schröder, M; Osterhus, S</t>
  </si>
  <si>
    <t>Seasonal ventilation of the cavity beneath Filchner-Ronne Ice Shelf simulated with an isopycnic coordinate ocean model -: art. no. C01024</t>
  </si>
  <si>
    <t>ice shelf-ocean interaction; Antarctic oceanography; numerical modeling</t>
  </si>
  <si>
    <t>CIRCULATION BENEATH; THERMOHALINE CIRCULATION; WEDDELL SEA; CONTINENTAL-SHELF; COASTAL POLYNYAS; WATER FORMATION; ANTARCTICA; VARIABILITY</t>
  </si>
  <si>
    <t>[1] The ocean cavity beneath Filchner-Ronne Ice Shelf is observed to respond to the seasonal cycle of water mass production on the continental shelf of the southern Weddell Sea. Here we use a numerical model to investigate the propagation of newly formed shelf waters into the cavity. We find that the model reproduces the most distinctive features of the observed seasonality and offers a plausible explanation for those features. The most saline shelf waters are produced in the far west, where the inflow to the cavity peaks twice each year. The major peak occurs during the short period around midwinter when convection reaches full depth and the densest waters are generated. Once the surface density starts to decline, dynamic adjustment of the restratified water column leads to a gradual fall in the salinity at depth and a secondary peak in the inflow that occurs in summer at the western coast. Beneath the ice shelf the arrival of the wintertime inflow at the instrumented sites is accompanied by a rapid warming, while the slower decline in the inflow leads to a more gradual cooling. Water brought in by the secondary, summer peak flows mainly to the eastern parts of the cavity. Here the seasonality is suppressed because the new inflows mix with older waters that recirculate within a topographic depression. This pooling of waters in the east, where the primary outflow of Ice Shelf Water is generated, dampens the impact of seasonality on the local production of Weddell Sea Bottom Water.</t>
  </si>
  <si>
    <t>British Antarctic Survey, NERC, Cambridge CB3 0ET, England; NYU, Courant Inst Math Sci, New York, NY 10012 USA; Alfred Wegener Inst Polar &amp; Marine Res, D-27515 Bremerhaven, Germany; Univ Bergen, Inst Geophys, N-5007 Bergen, Norway; Univ Bergen, Bjerknes Ctr Climat Res, N-5007 Bergen, Norway</t>
  </si>
  <si>
    <t>UK Research &amp; Innovation (UKRI); Natural Environment Research Council (NERC); NERC British Antarctic Survey; New York University; Helmholtz Association; Alfred Wegener Institute, Helmholtz Centre for Polar &amp; Marine Research; University of Bergen; University of Bergen; Bjerknes Centre for Climate Research</t>
  </si>
  <si>
    <t>Jenkins, A (corresponding author), British Antarctic Survey, NERC, High Cross,Madingley Rd, Cambridge CB3 0ET, England.</t>
  </si>
  <si>
    <t>a.jenkins@bas.ac.uk</t>
  </si>
  <si>
    <t>Jenkins, Adrian/0000-0002-9117-0616; Osterhus, Svein/0000-0001-9915-2685</t>
  </si>
  <si>
    <t>C01024</t>
  </si>
  <si>
    <t>10.1029/2001JC001086</t>
  </si>
  <si>
    <t>772XL</t>
  </si>
  <si>
    <t>WOS:000188868000001</t>
  </si>
  <si>
    <t>Chu, XZ; Nott, GJ; Espy, PJ; Gardner, CS; Diettrich, JC; Clilverd, MA; Jarvis, MJ</t>
  </si>
  <si>
    <t>Lidar observations of polar mesospheric clouds at Rothera, Antarctica (67.5°S, 68.0°W) -: art. no. L02114</t>
  </si>
  <si>
    <t>SOUTH-POLE; SEASONAL-VARIATIONS; NOCTILUCENT CLOUDS; 1ST OBSERVATIONS; MESOPAUSE; TEMPERATURES; NORTH; WAVE</t>
  </si>
  <si>
    <t>Polar mesospheric clouds (PMC) were observed by an Fe Boltzmann temperature lidar at Rothera (67.5degreesS, 68.0degreesW), Antarctica in the austral summer of 2002-2003.The Rothera PMC are much weaker, less frequent, and not as high as the PMC observed at the South Pole. The mean PMC altitude is 83.74 +/- 0.25 km, which is approximately 1.3 km lower than the South Pole clouds. A comparison of numerous cloud observations indicates that southern hemisphere PMC are about 1 km higher than northern clouds at similar latitudes. Lidar measurements also show that the mesopause region temperatures at Rothera in late January are warmer than at the South Pole, while the Fe layer at Rothera has higher density and a lower peak altitude compared to the summertime Fe layer at the South Pole. These Fe density and temperature observations are qualitatively consistent with the PMC observations.</t>
  </si>
  <si>
    <t>Univ Illinois, Dept Elect &amp; Comp Engn, Urbana, IL 61801 USA; British Antarctic Survey, Div Phys Sci, Cambridge, England</t>
  </si>
  <si>
    <t>University of Illinois System; University of Illinois Urbana-Champaign; UK Research &amp; Innovation (UKRI); Natural Environment Research Council (NERC); NERC British Antarctic Survey</t>
  </si>
  <si>
    <t>Univ Illinois, Dept Elect &amp; Comp Engn, 1406 W Green St, Urbana, IL 61801 USA.</t>
  </si>
  <si>
    <t>xchu@uiuc.edu</t>
  </si>
  <si>
    <t>Chu, Xinzhao/I-5670-2015</t>
  </si>
  <si>
    <t>JAN 29</t>
  </si>
  <si>
    <t>L02114</t>
  </si>
  <si>
    <t>10.1029/2003GL018638</t>
  </si>
  <si>
    <t>772WV</t>
  </si>
  <si>
    <t>WOS:000188866100001</t>
  </si>
  <si>
    <t>Sakanoi, K; Fukunishi, H</t>
  </si>
  <si>
    <t>Temporal and spatial structures of flickering aurora derived from high-speed imaging photometer observations at Syowa Station in the Antarctic</t>
  </si>
  <si>
    <t>flickering aurora; imaging photometer; aurora emission; field-aligned electron bursts; electromagnetic ion cyclotron waves</t>
  </si>
  <si>
    <t>ION-CYCLOTRON WAVES; ALIGNED ELECTRON FLUX; ALFVEN WAVES; ACCELERATION; FLUCTUATIONS; ENERGIZATION; MECHANISMS; FREJA; ARCS</t>
  </si>
  <si>
    <t>In order to investigate the generation mechanisms of flickering aurora, especially the physical processes producing its temporal and spatial structures, an advanced optical observation system called a high-speed imaging photometer system was developed by Tohoku University in 1997. The high-speed imaging photometer system consists of two sets of imaging photometer, which are used for measurements of the N-2(+) first negative emission (427.8 nm) and N-2 first positive emission (similar to660 nm) independently. Observations were carried out at Syowa Station (69.00degrees S, 39.58degrees E, -66.2degrees MLAT) in the Antarctic from April 24, 1998 to September 26, 1998. Dynamic spectra at two different wavelengths and clear temporal and spatial structures of flickering aurora at 427.8 nm are derived from these high-speed imaging photometer data. The most important result in this study is that flickering auroral columns (or spots) remain in almost the same location during their lifetime and that these columns (or spots) do not propagate across the magnetic field lines. It is suggested that interference of electromagnetic ion cyclotron (EMIC) waves or inertial Alfven waves (IAW) in the auroral acceleration region produce the observed characteristics of flickering aurora.</t>
  </si>
  <si>
    <t>Commun Res Labs, Tokyo 1848795, Japan; Tohoku Univ, Dept Geophys, Sendai, Miyagi 9808578, Japan</t>
  </si>
  <si>
    <t>National Institute of Information &amp; Communications Technology (NICT) - Japan; Tohoku University</t>
  </si>
  <si>
    <t>Sakanoi, K (corresponding author), Commun Res Labs, Tokyo 1848795, Japan.</t>
  </si>
  <si>
    <t>ksakanoi@crl.go.jp; fuku@pat.geophys.tohoku.ac.jp</t>
  </si>
  <si>
    <t>JAN 28</t>
  </si>
  <si>
    <t>A1</t>
  </si>
  <si>
    <t>A01221</t>
  </si>
  <si>
    <t>10.1029/2003JA010081</t>
  </si>
  <si>
    <t>772YG</t>
  </si>
  <si>
    <t>WOS:000188870000005</t>
  </si>
  <si>
    <t>Kaspers, KA; van de Wal, RSW; de Gouw, JA; Hofstede, CM; van den Broeke, MR; van der Veen, C; Neubert, REM; Meijer, HAJ; Brenninkmeijer, CAM; Karlöf, L; Winther, JG</t>
  </si>
  <si>
    <t>Analyses of firn gas samples from Dronning Maud Land, Antarctica:: Study of nonmethane hydrocarbons and methyl chloride -: art. no. D02307</t>
  </si>
  <si>
    <t>firn air; NMH and methylchloride; atmospheric trends</t>
  </si>
  <si>
    <t>ISOTOPIC ANALYSIS; BOUNDARY-LAYER; POLAR FIRN; AIR; GREENLAND; SUMMIT; HALOCARBONS; TROPOSPHERE; OZONE; SNOW</t>
  </si>
  <si>
    <t>Firn air was sampled on the Antarctic plateau in Dronning Maud Land (DML), during the Norwegian Antarctic Research Expedition (NARE) 2000/2001. In this paper, we describe the analyses for methyl chloride and nonmethane hydrocarbons (NMHCs) in these firn air samples. For the first time, the NMHCs ethane, propane, and acetylene have been measured in Antarctic firn air, and concentration profiles for these gases have been derived. A one-dimensional numerical firn air diffusion model was used to interpret the measured profiles and to derive atmospheric concentrations as a function of time. The atmospheric trends we derived for the NMHC and methyl chloride at DML cover the period from 1975 to 2000. Methyl chloride shows a decreasing trend of 1.2 +/- 0.6 ppt per year (annual mean concentration 548 +/- 32 ppt). For ethane we found an increasing trend of 1.6 +/- 0.6 ppt per year (annual mean concentration 241 +/- 12 ppt). The concentrations of propane and acetylene appear to be constant over the period 1975-2000, with annual mean concentrations of 30 +/- 4 ppt for propane and 24 +/- 2 ppt for acetylene.</t>
  </si>
  <si>
    <t>Univ Utrecht, Inst Marine &amp; Atmospher Res Utrecht, NL-3584 CC Utrecht, Netherlands; Univ Groningen, Ctr Isotope Res, NL-9747 AG Groningen, Netherlands; Max Planck Inst Chem, Abt Chem Atmosphare, D-55020 Mainz, Germany; Norwegian Polar Res Inst, Polar Environm Ctr, Polarmiljosentert, N-9296 Tromso, Norway</t>
  </si>
  <si>
    <t>Utrecht University; University of Groningen; Max Planck Society; Norwegian Polar Institute</t>
  </si>
  <si>
    <t>Univ Utrecht, Inst Marine &amp; Atmospher Res Utrecht, Princetonplein 5, NL-3584 CC Utrecht, Netherlands.</t>
  </si>
  <si>
    <t>k.a.kaspers@phys.uu.nl; wal@phys.uu.nl; jdegouw@al.noaa.gov; c.m.hofstede@phys.uu.nl; broeke@phys.uu.nl; cvdveen@mail.phys.uu.nl; neubert@phys.rug.nl; meijer@phys.rug.nl; carlb@diane.mpch-mainz.mpg.de; karlof@npolar.no; winther@npolar.no</t>
  </si>
  <si>
    <t>van de wal, roderik/D-1705-2011; Van den Broeke, Michiel R./F-7867-2011; Meijer, Harro A J/A-5787-2012; Neubert, Rolf/U-2766-2017; Neubert, Rolf/AAO-2248-2021; Brenninkmeijer, Carl/B-6860-2013; van der Veen, Carina/F-5344-2011; de Gouw, Joost/A-9675-2008</t>
  </si>
  <si>
    <t>van de wal, roderik/0000-0003-2543-3892; Van den Broeke, Michiel R./0000-0003-4662-7565; Neubert, Rolf/0000-0001-8848-4721; Neubert, Rolf/0000-0001-8848-4721; de Gouw, Joost/0000-0002-0385-1826; Meijer, Harro A.J./0000-0001-8744-5632</t>
  </si>
  <si>
    <t>JAN 27</t>
  </si>
  <si>
    <t>D2</t>
  </si>
  <si>
    <t>D02307</t>
  </si>
  <si>
    <t>10.1029/2003JD003950</t>
  </si>
  <si>
    <t>772XB</t>
  </si>
  <si>
    <t>WOS:000188866900007</t>
  </si>
  <si>
    <t>Díaz-Marrero, AR; Dorta, E; Cueto, M; San-Martín, A; Darias, J</t>
  </si>
  <si>
    <t>Conformational analysis and absolute stereochemistry of 'spongian'-related metabolites</t>
  </si>
  <si>
    <t>TETRAHEDRON</t>
  </si>
  <si>
    <t>sponges; dendroceratida; stereochemistries; diterpenes</t>
  </si>
  <si>
    <t>ANTARCTIC PANTONEURA-PLOCAMIOIDES; DENDRILLA-MEMBRANOSA; SPONGIONELLA-GRACILIS; APLYSILLA-GLACIALIS; MARINE SPONGES; MONOTERPENES; CONSTITUENTS; DITERPENES; DENDROCERATIDA; SKELETON</t>
  </si>
  <si>
    <t>New degraded and rearranged diterpenoids, 5-8, have been isolated from the Antarctic sponge Dendrilla membranosa. The structure and relative stereochemistry of these compounds were determined by spectroscopic data. The absolute stereochemistry of 5 was determined by spectroscopic data using a chiral reagent. Conformational studies allowed us to assign also the absolute stereochemistry of 6-8, as well as those previously isolated spongian-derived metabolites with known relative stereochemistries. (C) 2003 Elsevier Ltd. All rights reserved.</t>
  </si>
  <si>
    <t>CSIC, Inst Prod Nat &amp; Agrobiol, San Cristobal la Laguna 38206, Tenerife, Spain; Univ Chile, Fac Ciencias, Dept Quim, Santiago, Chile</t>
  </si>
  <si>
    <t>Consejo Superior de Investigaciones Cientificas (CSIC); CSIC - Instituto de Productos Naturales y Agrobiologia (IPNA); Universidad de Chile</t>
  </si>
  <si>
    <t>CSIC, Inst Prod Nat &amp; Agrobiol, Avda Astrofis F Sanchez 3,Apdo 195, San Cristobal la Laguna 38206, Tenerife, Spain.</t>
  </si>
  <si>
    <t>jdarias@ipna.csic.es</t>
  </si>
  <si>
    <t>Marrero, Ana R. Díaz/L-2899-2014; Darias, Jose/HMV-0531-2023; Cueto, Mercedes/L-3185-2014</t>
  </si>
  <si>
    <t>Marrero, Ana R. Díaz/0000-0002-8886-7519; Cueto, Mercedes/0000-0002-9112-6877</t>
  </si>
  <si>
    <t>0040-4020</t>
  </si>
  <si>
    <t>Tetrahedron</t>
  </si>
  <si>
    <t>JAN 26</t>
  </si>
  <si>
    <t>10.1016/j.tet.2003.11.077</t>
  </si>
  <si>
    <t>Chemistry, Organic</t>
  </si>
  <si>
    <t>768HD</t>
  </si>
  <si>
    <t>WOS:000188536800005</t>
  </si>
  <si>
    <t>Gadhavi, H; Jayaraman, A</t>
  </si>
  <si>
    <t>Aerosol characteristics and aerosol radiative forcing over Maitri, Antarctica</t>
  </si>
  <si>
    <t>INDIAN-OCEAN; ATMOSPHERE; CHEMISTRY</t>
  </si>
  <si>
    <t>During the 20th Indian Antarctic expedition conducted in January-February 2001, a detailed study on the aerosol spectral optical depth, mass concentration and size-distribution along with columnar ozone and water-vapour concentrations was made from the Indian station, Maitri (70.77degreesS, 11.73degreesE). A low aerosol optical depth of about 0.03 at 400 nm wavelength and a dry aerosol mass concentration of about 7 mug/m(3) for the PM10 particles are found for this anthropogenically least-affected continent on the earth. The aerosol size-distribution reveals that about 63% of the total aerosol mass' comes from particles of size greater than 1 mum, which are of mainly natural origin. Average columnar ozone and total precipitable water-vapour content during the observation period were found to be 271.6 DU and 0.147 cm respectively, and the observed day-to-day variations are explained using air back-trajectory analysis. Estimation of aerosol radiative forcing over Maitri reveals a positive forcing of 0.95 W/m(2) at the top of the atmosphere and -0.83 W/m(2) at the surface. Using model calculations, it is shown that these forcing values can have large annual variation both in magnitude and sign due to variation in the sun-earth geometry, typical of a polar region, even if we assume a constant aerosol amount throughout the year.</t>
  </si>
  <si>
    <t>Phys Res Lab, Ahmadabad 380009, Gujarat, India</t>
  </si>
  <si>
    <t>Department of Space (DoS), Government of India; Physical Research Laboratory - India</t>
  </si>
  <si>
    <t>Phys Res Lab, Ahmadabad 380009, Gujarat, India.</t>
  </si>
  <si>
    <t>jraman@prl.ernet.in</t>
  </si>
  <si>
    <t>Gadhavi, Harish/0000-0001-8935-1517</t>
  </si>
  <si>
    <t>INDIAN ACAD SCIENCES</t>
  </si>
  <si>
    <t>C V RAMAN AVENUE, SADASHIVANAGAR, P B #8005, BANGALORE 560 080, INDIA</t>
  </si>
  <si>
    <t>JAN 25</t>
  </si>
  <si>
    <t>770TN</t>
  </si>
  <si>
    <t>WOS:000188747100022</t>
  </si>
  <si>
    <t>Derring-do in the high Antarctic</t>
  </si>
  <si>
    <t>NEW SCIENTIST</t>
  </si>
  <si>
    <t>REED BUSINESS INFORMATION LTD</t>
  </si>
  <si>
    <t>SUTTON</t>
  </si>
  <si>
    <t>QUADRANT HOUSE THE QUADRANT, SUTTON SM2 5AS, SURREY, ENGLAND</t>
  </si>
  <si>
    <t>0262-4079</t>
  </si>
  <si>
    <t>NEW SCI</t>
  </si>
  <si>
    <t>New Sci.</t>
  </si>
  <si>
    <t>JAN 24</t>
  </si>
  <si>
    <t>765YC</t>
  </si>
  <si>
    <t>WOS:000188317800007</t>
  </si>
  <si>
    <t>Jevrejeva, S; Drabkin, VV; Kostjukov, J; Lebedev, AA; Leppäranta, M; Mironov, YU; Schmelzer, N; Sztobryn, M</t>
  </si>
  <si>
    <t>Baltic Sea ice seasons in the twentieth century</t>
  </si>
  <si>
    <t>CLIMATE RESEARCH</t>
  </si>
  <si>
    <t>Baltic Sea; ice conditions; trend probability; fractiles</t>
  </si>
  <si>
    <t>NORTH-ATLANTIC OSCILLATION; ATMOSPHERIC CIRCULATION; SEVERITY INDEX; ESTONIAN COAST; RECONSTRUCTION; VARIABILITY; ASSOCIATION; EXTENT; TERMS</t>
  </si>
  <si>
    <t>We examine the evolution of ice seasons in the Baltic Sea during the 20th century based on a set of 37 time series from the coastal observation stations. The statistical question of combining data from sites with different ice probabilities is solved by using fractiles of the distributions. These 100 yr long time series, including date of freezing, ice break-up, number of days with ice, and maximum annual ice thickness, provide evidence of a general trend toward easier ice conditions; the largest change is in the length of ice season, which is decreasing by 14 to 44 d per century. The trends of a reduction of about 8 to 20 d per century to earliest ice break-up are in a good agreement with a warming trend in winter air temperature over Europe. A statistically significant decreasing trend in probability of ice occurrence in the southern part of the Baltic Sea was detected; however, there is no change in probability of ice occurrence in the northern part.</t>
  </si>
  <si>
    <t>Bidston Observ, Proudman Oceanog Lab, Birkenhead CH43 7RA, Merseyside, England; Arctic &amp; Antarctic Res Inst, St Petersburg 199397, Russia; Latvian Hydrometeorol Agcy, Riga, Latvia; Univ Helsinki, Div Geophys, Helsinki 00014, Finland; Bundesamt Seeschiffahrt &amp; Hydrog, D-18057 Rostock, Germany; Inst Meteorol &amp; Water Management, Gdynia, Poland</t>
  </si>
  <si>
    <t>NERC National Oceanography Centre; Arctic &amp; Antarctic Research Institute; University of Helsinki; Institute of Meteorology &amp; Water Management</t>
  </si>
  <si>
    <t>sveta@pol.ac.uk</t>
  </si>
  <si>
    <t>Lepparanta, Matti/M-7507-2017</t>
  </si>
  <si>
    <t>Lepparanta, Matti/0000-0002-4754-5564</t>
  </si>
  <si>
    <t>INTER-RESEARCH</t>
  </si>
  <si>
    <t>OLDENDORF LUHE</t>
  </si>
  <si>
    <t>NORDBUNTE 23, D-21385 OLDENDORF LUHE, GERMANY</t>
  </si>
  <si>
    <t>0936-577X</t>
  </si>
  <si>
    <t>1616-1572</t>
  </si>
  <si>
    <t>CLIM RES</t>
  </si>
  <si>
    <t>Clim. Res.</t>
  </si>
  <si>
    <t>JAN 23</t>
  </si>
  <si>
    <t>10.3354/cr025217</t>
  </si>
  <si>
    <t>Environmental Sciences; Meteorology &amp; Atmospheric Sciences</t>
  </si>
  <si>
    <t>Environmental Sciences &amp; Ecology; Meteorology &amp; Atmospheric Sciences</t>
  </si>
  <si>
    <t>802WY</t>
  </si>
  <si>
    <t>WOS:000220194800004</t>
  </si>
  <si>
    <t>Aydin, M; Saltzman, ES; De Bruyn, WJ; Montzka, SA; Butler, JH; Battle, M</t>
  </si>
  <si>
    <t>Atmospheric variability of methyl chloride during the last 300 years from an Antarctic ice core and firn air</t>
  </si>
  <si>
    <t>EMISSIONS INVENTORY; REACTIVE CHLORINE; GLOBAL EMISSIONS; NORTH-ATLANTIC; HALOCARBONS; CENTURIES; GREENLAND; RECORD; GASES</t>
  </si>
  <si>
    <t>Measurements of methyl chloride (CH3Cl) in Antarctic polar ice and firn air are used to describe the variability of atmospheric CH3Cl during the past 300 years. Firn air results from South Pole and Siple Dome suggest that the atmospheric abundance of CH3Cl increased by about 10% in the 50 years prior to 1990. Ice core measurements from Siple Dome provide evidence for a cyclic natural variability on the order of 10%, with a period of about 110 years in phase with the 20th century rise inferred from firn air. Thus, the CH3Cl increase measured in firn air may largely be a result of natural processes, which may continue to affect the atmospheric CH3Cl burden during the 21st century.</t>
  </si>
  <si>
    <t>Univ Calif Irvine, Dept Earth Syst Sci, Irvine, CA 92697 USA; Chapman Univ, Dept Phys Sci, Orange, CA 92866 USA; NOAA, Climate Monitoring &amp; Diagnost Lab, Boulder, CO 80305 USA; Bowdoin Coll, Dept Phys &amp; Astron, Brunswick, ME 04011 USA</t>
  </si>
  <si>
    <t>University of California System; University of California Irvine; Chapman University System; Chapman University; National Oceanic Atmospheric Admin (NOAA) - USA; Bowdoin College</t>
  </si>
  <si>
    <t>Univ Calif Irvine, Dept Earth Syst Sci, Irvine, CA 92697 USA.</t>
  </si>
  <si>
    <t>maydin@uci.edu</t>
  </si>
  <si>
    <t>montzka, stephen/V-6162-2019</t>
  </si>
  <si>
    <t>montzka, stephen/0000-0002-9396-0400</t>
  </si>
  <si>
    <t>JAN 22</t>
  </si>
  <si>
    <t>L02109</t>
  </si>
  <si>
    <t>10.1029/2003GL018750</t>
  </si>
  <si>
    <t>769VY</t>
  </si>
  <si>
    <t>Green Submitted, Green Published, Bronze</t>
  </si>
  <si>
    <t>WOS:000188671500002</t>
  </si>
  <si>
    <t>Chisham, G; Freeman, MP; Sotirelis, T</t>
  </si>
  <si>
    <t>A statistical comparison of SuperDARN spectral width boundaries and DMSP particle precipitation boundaries in the nightside ionosphere</t>
  </si>
  <si>
    <t>RADAR; CUSP; IMF</t>
  </si>
  <si>
    <t>The boundary between quasi-dipolar (closed) geomagnetic field lines and those connected to the interplanetary magnetic field (open) is a key diagnostic for the magnetospheric system. This study presents an HF radar technique for determining the location of this boundary in the nightside ionosphere and calibrates it with the boundary determined from simultaneous particle precipitation data. The latitudes of spectral width boundaries (SWBs) identified from 5 years (1997-2001) of data from the Halley HF radar of the Super Dual Auroral Radar Network (SuperDARN), in the range 1800-0200 magnetic local time (MLT), have been compared with nightside particle precipitation boundaries (PPBs) identified from measurements from the Defense Meteorological Satellite Program (DMSP) spacecraft. Latitudinal differences were measured between the PPBs and the nearest SWB within a +/-10 min UT window and within a +/-1 hr MLT window. These differences were then organised into 2-hour MLT sectors. The statistical distributions of the latitudinal differences show that the nightside SWB correlates best with the b6 PPB, which is a good marker for the open-closed field line boundary (OCB) in the nightside ionosphere. When considering SWBs determined using different spectral width threshold values, those determined using the lower threshold values (&lt;150 m/s) are offset similar to 1-2 degrees equatorward of the b6 boundary suggesting that there is a gradual latitudinal change in spectral width between the b5 and b6 boundaries rather than a step change at the b6 boundary. The results enable the OCB to be determined with confidence in the 1800 0200 MLT sector using SuperDARN radar data.</t>
  </si>
  <si>
    <t>British Antarctic Survey, NERC, Cambridge CB3 0ET, England; Johns Hopkins Univ, Appl Phys Lab, Laurel, MD 20723 USA</t>
  </si>
  <si>
    <t>UK Research &amp; Innovation (UKRI); Natural Environment Research Council (NERC); NERC British Antarctic Survey; Johns Hopkins University; Johns Hopkins University Applied Physics Laboratory</t>
  </si>
  <si>
    <t>G.Chisham@bas.ac.uk; M.P.Freeman@bas.ac.uk; tom.sotirelis@jhuapl.edu</t>
  </si>
  <si>
    <t>Sotirelis, Thomas S/C-2523-2016; Freeman, Mervyn/E-5687-2019</t>
  </si>
  <si>
    <t>Freeman, Mervyn/0000-0002-8653-8279</t>
  </si>
  <si>
    <t>L02804</t>
  </si>
  <si>
    <t>10.1029/2003GL019074</t>
  </si>
  <si>
    <t>WOS:000188671500005</t>
  </si>
  <si>
    <t>Liu, JP; Curry, JA; Martinson, DG</t>
  </si>
  <si>
    <t>Interpretation of recent Antarctic sea ice variability</t>
  </si>
  <si>
    <t>SOUTHERN-OCEAN; CLIMATE; CIRCULATION; TRENDS</t>
  </si>
  <si>
    <t>Trends in the satellite-derived Antarctic sea ice concentrations (1979-2002) show pronounced increase (decrease) in the central Pacific sector (Bellingshausen/western Weddell sector) by similar to4-10% per decade. Confidence levels for these regional trends exceed 95%. Positive polarities of the Antarctic Oscillation (AAO) lead to more (less) ice in the eastern Ross/Amundsen sector (Bellingshausen/northern Weddell sector), which are qualitatively opposite to the impacts of positive polarities of the El Nino-Southern Oscillation (ENSO). The mechanisms responsible for the covariability between the ice and the (a) AAO and (b) ENSO are demonstrated. Over the last 24 years, a positive AAO trend and a slightly negative ENSO trend produce a spatial pattern of ice changes similar to the regional ice trends. However, the magnitude of the ice changes associated with the AAO and ENSO is much smaller than the regional ice trends. More local (or less understood large) scale processes should be investigated for the explanations.</t>
  </si>
  <si>
    <t>Georgia Inst Technol, Sch Earth &amp; Atmospher Sci, Atlanta, GA 30332 USA; Columbia Univ, Lamont Doherty Earth Observ, Palisades, NY 10964 USA</t>
  </si>
  <si>
    <t>University System of Georgia; Georgia Institute of Technology; Columbia University</t>
  </si>
  <si>
    <t>Georgia Inst Technol, Sch Earth &amp; Atmospher Sci, Atlanta, GA 30332 USA.</t>
  </si>
  <si>
    <t>jliu@eas.gatech.edu</t>
  </si>
  <si>
    <t>LIU, JIPING/N-6696-2016</t>
  </si>
  <si>
    <t>L02205</t>
  </si>
  <si>
    <t>10.1029/2003GL018732</t>
  </si>
  <si>
    <t>WOS:000188671500001</t>
  </si>
  <si>
    <t>Hulbe, CL; MacAyeal, DR; Denton, GH; Kleman, J; Lowell, TV</t>
  </si>
  <si>
    <t>Catastrophic ice shelf breakup as the source of Heinrich event icebergs</t>
  </si>
  <si>
    <t>Heinrich events; ice shelf disintegration</t>
  </si>
  <si>
    <t>SOUTHERN LAKE DISTRICT; CENTRAL BAFFIN-ISLAND; FREEZE-ON MECHANISM; RICH BASAL ICE; NORTH-ATLANTIC; HUDSON STRAIT; LABRADOR SECTOR; CLIMATE-CHANGE; FLOW PATTERNS; SHEET</t>
  </si>
  <si>
    <t>[1] Heinrich layers of the glacial North Atlantic record abrupt widespread iceberg rafting of detrital carbonate and other lithic material at the extreme-cold culminations of Bond climate cycles. Both internal (glaciologic) and external ( climate) forcings have been proposed. Here we suggest an explanation for the iceberg release that encompasses external climate forcing on the basis of a new glaciological process recently witnessed along the Antarctic Peninsula: rapid disintegrations of fringing ice shelves induced by climate-controlled meltwater infilling of surface crevasses. We postulate that peripheral ice shelves, formed along the eastern Canadian seaboard during extreme cold conditions, would be vulnerable to sudden climate-driven disintegration during any climate amelioration. Ice shelf disintegration then would be the source of Heinrich event icebergs.</t>
  </si>
  <si>
    <t>Portland State Univ, Dept Geol, Portland, OR 97207 USA; Univ Chicago, Dept Geophys Sci, Chicago, IL 60637 USA; Univ Maine, Inst Quaternary &amp; Climate Studies, Orono, ME 04469 USA; Univ Maine, Dept Geol Sci, Orono, ME 04469 USA; Stockholm Univ, Dept Phys Geog &amp; Quaternary Geol, S-10691 Stockholm, Sweden; Univ Cincinnati, Dept Geol, Cincinnati, OH 45221 USA</t>
  </si>
  <si>
    <t>Portland State University; University of Chicago; University of Maine System; University of Maine Orono; University of Maine System; University of Maine Orono; Stockholm University; University System of Ohio; University of Cincinnati</t>
  </si>
  <si>
    <t>Portland State Univ, Dept Geol, POB 751, Portland, OR 97207 USA.</t>
  </si>
  <si>
    <t>chulbe@pdx.edu; drm7@midway.uchicago.edu; debbies@maine.edu; kleman@natgeo.su.se; thomas.lowell@uc.edu</t>
  </si>
  <si>
    <t>Hulbe, Christina/0000-0003-4765-7037; Lowell, Thomas/0000-0001-7826-0636; MacAyeal, Douglas/0000-0003-0647-6176</t>
  </si>
  <si>
    <t>PA1004</t>
  </si>
  <si>
    <t>10.1029/2003PA000890</t>
  </si>
  <si>
    <t>769WX</t>
  </si>
  <si>
    <t>WOS:000188673700002</t>
  </si>
  <si>
    <t>Hosokawa, K; Ogawa, T; Yukimatu, AS; Sato, N; Iyemori, T</t>
  </si>
  <si>
    <t>Statistics of antarctic mesospheric echoes observed with the SuperDARN Syowa Radar</t>
  </si>
  <si>
    <t>POLAR MESOSPHERE; SUMMER ECHOES; NOCTILUCENT CLOUDS; MESOPAUSE; AEROSOLS; NORWAY; PMSE; HF</t>
  </si>
  <si>
    <t>An oblique-sounding coherent HF radar of the SuperDARN (Super Dual Auroral Radar Network) at about 11 MHz sometimes receives peculiar backscatter returns, which are suspected as Polar Mesosphere Summer Echoes (PMSE), from ranges very close to the radar site. To disclose their statistical features, we looked for such echoes that were observed, under quiet geomagnetic conditions, during 46 months from 1997 until 2000 with the SuperDARN radar at Syowa Station, Antarctica (69.0degreesS, 38.6degreesE). With some strict criteria for echo selection, we identified 22 events in summer months and 2 events in August and September. Their distinct seasonal variation evidences that these near range echoes in summer months are indeed the Antarctic PMSE. Origin of the two spring echoes is not clear at the moment. The occurrence probability of the summer echoes seems to increase with year. We, however, need more data accumulation to confirm this trend. These results indicate that the SuperDARN radars can be used to routinely monitor the activity of PMSE in a wide area of the polar mesosphere in both hemispheres.</t>
  </si>
  <si>
    <t>Univ Electrocommun, Dept Informat &amp; Commun Engn, Chofu, Tokyo 1828585, Japan; Nagoya Univ, Solar Terr Environm Lab, Aichi, Japan; Natl Inst Polar Res, Tokyo 173, Japan; Kyoto Univ, Grad Sch Sci, Data Anal Ctr Geomagnetism &amp; Space Magnetism, Kyoto, Japan</t>
  </si>
  <si>
    <t>University of Electro-Communications - Japan; Nagoya University; Research Organization of Information &amp; Systems (ROIS); National Institute of Polar Research (NIPR) - Japan; Kyoto University</t>
  </si>
  <si>
    <t>Univ Electrocommun, Dept Informat &amp; Commun Engn, 1-5-1 Chofugaoka, Chofu, Tokyo 1828585, Japan.</t>
  </si>
  <si>
    <t>hosokawa@ice.uec.ac.jp; ogawa@stelab.nagoya-u.ac.jp; sessai@uap.nipr.ac.jp; nsato@nipr.ac.jp; iyemori@kugi.kyoto-u.ac.jp</t>
  </si>
  <si>
    <t>JAN 20</t>
  </si>
  <si>
    <t>L02106</t>
  </si>
  <si>
    <t>10.1029/2003GL018776</t>
  </si>
  <si>
    <t>769VU</t>
  </si>
  <si>
    <t>WOS:000188671100004</t>
  </si>
  <si>
    <t>Souchez, R; Samyn, D; Lorrain, R; Pattyn, F; Fitzsimons, S</t>
  </si>
  <si>
    <t>An isotopic model for basal freeze-on associated with subglacial upward flow of pore water</t>
  </si>
  <si>
    <t>ICE; GLACIERS</t>
  </si>
  <si>
    <t>[1] Subglacial freezing in polar glaciers can have a significant dynamical effect. Recent studies have shown that freezing of pore water flowing upward through subglacial fine-grained sediments at the freezing interface and progression of this freezing front downward are responsible for fast ice flow stoppage in ice streams. The upward pore water flow leads to the formation of debris-bearing basal ice layers. A model for stable isotope composition, both in deltaD and delta(18)O, is developed for predicting the isotopic composition of the ice segregated by such a mechanism. The development of this isotopic model for water films present along the grains of the subglacial sediment predicts the absence of apparent fractionation for the ice formed. This prediction is tested against two East Antarctic outlet glaciers by studying the deltaD-delta(18)O relationships in the basal ice layers of these glaciers.</t>
  </si>
  <si>
    <t>Free Univ Brussels, Fac Sci, Dept Sci Terre &amp; Environm, B-1050 Brussels, Belgium; Free Univ Brussels, Dept Geog, B-1050 Brussels, Belgium; Univ Otago, Dept Geog, Dunedin, New Zealand</t>
  </si>
  <si>
    <t>Universite Libre de Bruxelles; Universite Libre de Bruxelles; University of Otago</t>
  </si>
  <si>
    <t>Free Univ Brussels, Fac Sci, Dept Sci Terre &amp; Environm, CP 160-03,Ave FD Roosevelt 50, B-1050 Brussels, Belgium.</t>
  </si>
  <si>
    <t>glaciol@ulb.ac.be; fpattyn@vub.ac.be; sjf@hyperperth.otago.ac.nz</t>
  </si>
  <si>
    <t>Pattyn, Frank/AAA-9640-2019; Fitzsimons, Sean/C-4024-2009</t>
  </si>
  <si>
    <t>Pattyn, Frank/0000-0003-4805-5636;</t>
  </si>
  <si>
    <t>JAN 17</t>
  </si>
  <si>
    <t>L02401</t>
  </si>
  <si>
    <t>10.1029/2003GL018861</t>
  </si>
  <si>
    <t>765WE</t>
  </si>
  <si>
    <t>WOS:000188306700005</t>
  </si>
  <si>
    <t>Lovejoy, C; Price, NM; Legendre, L</t>
  </si>
  <si>
    <t>Role of nutrient supply and loss in controlling protist species dominance and microbial food-webs during spring blooms</t>
  </si>
  <si>
    <t>AQUATIC MICROBIAL ECOLOGY</t>
  </si>
  <si>
    <t>nutrient supply; protist species; spring-bloom initiation; succession; phytoplankton; marine; Arctic</t>
  </si>
  <si>
    <t>ANTARCTIC POLAR FRONT; NORTH WATER POLYNYA; APRIL-JULY 1998; ROSS SEA; PHYTOPLANKTON DYNAMICS; COMMUNITY STRUCTURE; EQUATORIAL PACIFIC; BIOGEOCHEMICAL CYCLES; PRIMARY PRODUCTIVITY; COASTAL ECOSYSTEMS</t>
  </si>
  <si>
    <t>The species composition of spring blooms varies over open marine regions, displaying both spatial and inter-annual differences. We used semi-continuous cultures to promote species-specific blooms and investigate associated microbial food-web dynamics and inorganic nutrient utilization. Beginning with high-nutrient, low-biomass water from 13 m depth, we compared the changes that took place over 9 d in 2 treatments: (1) NEW, a 'new-nutrient' treatment that simulated horizontal or vertical advection; every 2 d, both particles and dissolved organic matter were removed and ca. 25 % of the volume of the container was replaced with nutrient-rich seawater from 200 m depth. (2) REC, a recycling treatment simulating grazing and sinking losses without nutrient replacement, i.e. conditions mimicking sharply stratified water columns; in this treatment the same volume of water was removed, but was then returned to the container following filtration through a 2.0 mum filter. In the NEW treatment, diatoms consumed the added nutrients and dominated the production and biomass of the protist community. Total protist community production in the REC treatment was significantly lower than in the NEW treatment, with either a late or no diatom bloom and prymnesiophytes such as Phaeocystis spp. attaining higher proportional biomass. Total production rates for heterotrophic protists, bacteria and viruses did not differ significantly between treatments. Nutrient consumption by the ensuing communities differed between the 2 treatments, with a significantly greater proportion of total inorganic nutrients consumed in the NEW than in the REC treatment. The results demonstrate that the character of nutrient supply and loss influences protist community structure and subsequent bulk nutrient utilization.</t>
  </si>
  <si>
    <t>Univ Laval, Dept Biol, GIROQ, Ste Foy, PQ G1K 7P4, Canada; McGill Univ, Dept Biol, Montreal, PQ H3A 1B1, Canada</t>
  </si>
  <si>
    <t>Laval University; McGill University</t>
  </si>
  <si>
    <t>Lovejoy, C (corresponding author), Univ Laval, Dept Biol, GIROQ, Ste Foy, PQ G1K 7P4, Canada.</t>
  </si>
  <si>
    <t>clovejoy@icm.csic.es</t>
  </si>
  <si>
    <t>Price, Neil Martin/A-8963-2008; Lovejoy, Connie/A-3756-2008</t>
  </si>
  <si>
    <t>Price, Neil Martin/0000-0001-9986-9213; Lovejoy, Connie/0000-0001-8027-2281</t>
  </si>
  <si>
    <t>0948-3055</t>
  </si>
  <si>
    <t>AQUAT MICROB ECOL</t>
  </si>
  <si>
    <t>Aquat. Microb. Ecol.</t>
  </si>
  <si>
    <t>JAN 16</t>
  </si>
  <si>
    <t>10.3354/ame034079</t>
  </si>
  <si>
    <t>Ecology; Marine &amp; Freshwater Biology; Microbiology</t>
  </si>
  <si>
    <t>Environmental Sciences &amp; Ecology; Marine &amp; Freshwater Biology; Microbiology</t>
  </si>
  <si>
    <t>772FB</t>
  </si>
  <si>
    <t>WOS:000188829700008</t>
  </si>
  <si>
    <t>Michaud, L; Di Cello, F; Brilli, M; Fani, R; Lo Giudice, A; Bruni, V</t>
  </si>
  <si>
    <t>Biodiversity of cultivable psychrotrophic marine bacteria isolated from Terra Nova Bay (Ross Sea, Antarctica)</t>
  </si>
  <si>
    <t>Antarctic marine bacteria; biodiversity; 16S rDNA; amplified rDNA restriction analysis; random amplified polymorphic DNA analysis</t>
  </si>
  <si>
    <t>GEN. NOV.; SP. NOV.; IDENTIFICATION; RECLASSIFICATION; TAXONOMY; GROWTH; PCR; ICE</t>
  </si>
  <si>
    <t>A set of 146 Antarctic marine isolates from the Ross Sea was characterized by a combination of molecular techniques in order to determine the degree of inter- and intraspecific variability. Isolates were analyzed by amplified rDNA restriction analysis (ARDRA) using the tetrameric enzyme AluI, resulting in 52 different groups, corresponding to at least 52 different bacterial species, indicating a high degree of interspecific variability. The phylogenetic position of bacteria belonging to some ARDRA groups was obtained by sequencing of 16S rDNA. Random amplified polymorphic DNA (RAPD) analysis, carried out on the largest ARDRA groups, revealed a high intraspecific genetic variability, too. The analysis of plasmid content revealed the existence of horizontal gene transfer between strains belonging to the same and to different species. A comparison of the whole body of morphological, physiological and biochemical data was finally carried out. (C) 2003 Federation of European Microbiological Societies. Published by Elsevier B.V. All rights reserved.</t>
  </si>
  <si>
    <t>Univ Florence, Dept Anim Biol &amp; Genet, I-50125 Florence, Italy; Univ Messina, Dept Anim Biol &amp; Marine Ecol, I-98166 Messina, Italy</t>
  </si>
  <si>
    <t>University of Florence; University of Messina</t>
  </si>
  <si>
    <t>Univ Florence, Dept Anim Biol &amp; Genet, V Romana 17-19, I-50125 Florence, Italy.</t>
  </si>
  <si>
    <t>r_fani@dbag.unifi.it</t>
  </si>
  <si>
    <t>Brilli, Matteo/F-4674-2011</t>
  </si>
  <si>
    <t>Brilli, Matteo/0000-0001-9891-4617</t>
  </si>
  <si>
    <t>JAN 15</t>
  </si>
  <si>
    <t>10.1016/S0378-1097(03)00857-7</t>
  </si>
  <si>
    <t>769FJ</t>
  </si>
  <si>
    <t>WOS:000188615500010</t>
  </si>
  <si>
    <t>Garbary, DJ; Kim, KY; Hoffman, J</t>
  </si>
  <si>
    <t>Cytological damage to the red alga Griffithsia pacifica from ultraviolet radiation</t>
  </si>
  <si>
    <t>HYDROBIOLOGIA</t>
  </si>
  <si>
    <t>cytology; development; Griffithsia; rhizoids; Rhodophyta; ultraviolet radiation; UV</t>
  </si>
  <si>
    <t>ANTARCTIC MARINE ORGANISMS; SOMATIC-CELL FUSION; RHODOPHYTA; IRRADIATION; KYLIN</t>
  </si>
  <si>
    <t>Continuous exposure for 7-10 days to 60% of ambient levels (sea level at mid-day in December) of UV-A and UV-B radiation caused cytological damage to regenerating fragments of Griffithsia pacifica under laboratory conditions. There was high mortality of individual cells and entire fragments in UV treated filaments. Rhizoid initiation was slower and rhizoids grew more slowly following UV treatment. After 7 days, UV radiated thalli showed chloroplast and nuclear degeneration. In addition, filaments tended to disarticulate so that single or groups of apparently healthy cells were common in the medium. These data suggest that the subtidal habitat of G. pacifica is based in part on lack of tolerance to UV radiation, and that UV protection mechanisms are not inducible or insufficient to prevent the accumulation of damage in this species.</t>
  </si>
  <si>
    <t>St Francis Xavier Univ, Dept Biol, Antigonish, NS B2G 2W5, Canada; Chonnam Natl Univ, Dept Oceanog, Kwangju 500757, South Korea; Univ Washington, Dept Zool, Seattle, WA 98195 USA</t>
  </si>
  <si>
    <t>Saint Francis Xavier University - Canada; Chonnam National University; University of Washington; University of Washington Seattle</t>
  </si>
  <si>
    <t>Garbary, DJ (corresponding author), St Francis Xavier Univ, Dept Biol, Antigonish, NS B2G 2W5, Canada.</t>
  </si>
  <si>
    <t>dgarbary@juliet.stfx.ca</t>
  </si>
  <si>
    <t>Garbary, David/0000-0001-5126-6608</t>
  </si>
  <si>
    <t>0018-8158</t>
  </si>
  <si>
    <t>Hydrobiologia</t>
  </si>
  <si>
    <t>1-3</t>
  </si>
  <si>
    <t>10.1023/B:HYDR.0000020323.78605.9e</t>
  </si>
  <si>
    <t>811PP</t>
  </si>
  <si>
    <t>WOS:000220784100023</t>
  </si>
  <si>
    <t>Ikeda-Fukazawa, T; Kawamura, K</t>
  </si>
  <si>
    <t>Molecular-dynamics studies of surface of ice Ih</t>
  </si>
  <si>
    <t>JOURNAL OF CHEMICAL PHYSICS</t>
  </si>
  <si>
    <t>HYDRATE SINGLE-CRYSTAL; X-RAY-SCATTERING; CLATHRATE HYDRATE; NEUTRON-SCATTERING; TRANSITION LAYER; WATER INTERFACE; ANTARCTIC ICE; DIFFRACTION; SIMULATION; SPECTRA</t>
  </si>
  <si>
    <t>We performed molecular dynamics calculations of surface of ice Ih in order to investigate formation mechanism of melting layer on the surface. The results showed that the vibrational amplitude of the atoms in the surface layer greatly depends on the crystal orientation, whereas that in the ice bulk is isotropic. The anisotropy of the vibration is due to a dangling motion of the free O-H bonds exist at the surface layer. The dangling motion enhances the rotational motion of the water molecules. The vibrational density of state showed a coupling between the rotational vibration and the lattice vibration of the water molecules in the surface layer. The coupling of the vibrations causes a distortion of ice lattice. Through the hydrogen-bonding network, the distortion transmits to the interior of the crystal. We conclude that the dangling motion of the free O-H bonds exist at the surface layer is one of the dominant factors governing the surface melting of ice crystal. (C) 2004 American Institute of Physics.</t>
  </si>
  <si>
    <t>Japan Sci &amp; Technol Agcy, PRESTO, Inst Stat Math, Tokyo 1068569, Japan; Tokyo Inst Technol, Dept Earth &amp; Planetary Sci, Tokyo 1528551, Japan</t>
  </si>
  <si>
    <t>Japan Science &amp; Technology Agency (JST); Research Organization of Information &amp; Systems (ROIS); Institute of Statistical Mathematics (ISM) - Japan; Tokyo Institute of Technology</t>
  </si>
  <si>
    <t>Japan Sci &amp; Technol Agcy, PRESTO, Inst Stat Math, Tokyo 1068569, Japan.</t>
  </si>
  <si>
    <t>Ikeda-Fukazawa, Tomoko/0000-0002-5265-4706</t>
  </si>
  <si>
    <t>AMER INST PHYSICS</t>
  </si>
  <si>
    <t>MELVILLE</t>
  </si>
  <si>
    <t>1305 WALT WHITMAN RD, STE 300, MELVILLE, NY 11747-4501 USA</t>
  </si>
  <si>
    <t>0021-9606</t>
  </si>
  <si>
    <t>1089-7690</t>
  </si>
  <si>
    <t>J CHEM PHYS</t>
  </si>
  <si>
    <t>J. Chem. Phys.</t>
  </si>
  <si>
    <t>10.1063/1.1634250</t>
  </si>
  <si>
    <t>763JE</t>
  </si>
  <si>
    <t>WOS:000188081000033</t>
  </si>
  <si>
    <t>Somoza, L; Martínez-Frías, J; Smellie, JL; Rey, J; Maestro, A</t>
  </si>
  <si>
    <t>Evidence for hydrothermal venting and sediment volcanism discharged after recent short-lived volcanic eruptions at Deception Island, Bransfield Strait, Antarctica</t>
  </si>
  <si>
    <t>hydrothermal vents; submarine volcanoes; geophysical surveys; geochemical investigations; Antarctica</t>
  </si>
  <si>
    <t>SOUTH SHETLAND-ISLANDS; RARE-EARTH-ELEMENTS; PHASE-SEPARATION; FLUIDS; EVOLUTION; GEOCHEMISTRY; PENINSULA; BASIN; RIDGE; FIELD</t>
  </si>
  <si>
    <t>The results of a combined geophysical and geochemical research programme on Deception Island, an active volcano at 62degrees43'S, 60degrees57'W in Bransfield Strait (Antarctica), are presented. Ultrahigh-resolution acoustic data obtained with a TOPAS (Topographic PArameter Sonar) system and multibeam bathymetry (Simrad EM1000) allow a detailed analysis of submarine vents in Port Foster, the submerged caldera of Deception Island. The data show three different types of seafloor structures: low-relief mounds, high-relief mounds ('wasp nest'-like) and spire-like structures. We interpret these structures as products of sediment volcanisin and seeps caused by heating and boiling of pore fluids in gas-charged sediments, and related to recent short-lived volcanic events, possibly those that occurred in 1967, 1969 and 1970. In addition, subsurface vertical disturbed zones, formed by increased amplitude and phase-inverse reflectors beneath the mounds, suggest the presence of fluidised and brecciated sediments within hydrofracture systems. A key finding of this study is that there appears to be a close relationship between the submarine mounds detected by our ultrahigh-resolution seismic study, geochemical haloes, fault-pathways and present-day thermal anomalies in surface waters. We suggest that seafloor hydrofracture systems and subsurface pipes can be re-used as fluid migration pathways, resulting in hydrothermal seeps and vents on the seafloor, possibly up to decades after coeval volcanic eruptions. (C) 2003 Elsevier B.V. All rights reserved.</t>
  </si>
  <si>
    <t>Geol Survey Spain, IGME, Marine Geol Div, Madrid 28003, Spain; CSIC, INTA, Ctr Astrobiol, E-28850 Madrid, Spain; British Antarctic Survey, Cambridge CB3 0ET, England; Estudios Geol Marinos ESGEMAR, Malaga 29006, Spain</t>
  </si>
  <si>
    <t>Consejo Superior de Investigaciones Cientificas (CSIC); CSIC - Centro de Astrobiologia (INTA); UK Research &amp; Innovation (UKRI); Natural Environment Research Council (NERC); NERC British Antarctic Survey</t>
  </si>
  <si>
    <t>Geol Survey Spain, IGME, Marine Geol Div, Rios Rosas 23, Madrid 28003, Spain.</t>
  </si>
  <si>
    <t>l.somoza@igme.es</t>
  </si>
  <si>
    <t>Maestro, Adolfo/K-2434-2014; Somoza, Luis/C-1400-2010; Maestro, Adolfo/ABG-7268-2021</t>
  </si>
  <si>
    <t>Maestro, Adolfo/0000-0002-7474-725X; Somoza, Luis/0000-0001-5451-2288; Martinez-Frias, Jesus/0000-0002-2609-4485</t>
  </si>
  <si>
    <t>10.1016/S0025-3227(03)00285-8</t>
  </si>
  <si>
    <t>765LV</t>
  </si>
  <si>
    <t>WOS:000188285800008</t>
  </si>
  <si>
    <t>Bojar, AV; Hiden, H; Fenninger, A; Neubauer, F</t>
  </si>
  <si>
    <t>Middle Miocene seasonal temperature changes in the Styrian basin, Austria, as recorded by the isotopic composition of pectinid and brachiopod shells</t>
  </si>
  <si>
    <t>stable isotopes; Styrian basin; Middle Miocene; climate change</t>
  </si>
  <si>
    <t>STABLE-ISOTOPES; OXYGEN-ISOTOPE; CARBON; FRACTIONATION; CIRCULATION; OLIGOCENE; GROWTH; DELTA-O-18; ATLANTIC; CALCITE</t>
  </si>
  <si>
    <t>Using the isotope record on pectinid and brachiopod shells, we reconstructed Middle Miocene palaeotemperatures for a shelf environment in the Styrian basin, Austria. Bivalve shells of Macrochlamys sp., collected from different horizons of the Lower Badenian Leitha limestone, show delta(18)O values in the range of -3 to 0 parts per thousand (PeeDee Belemnite). The large intrashell variability of 3 parts per thousand indicates significant seawater temperature fluctuation. The results suggest that despite the high geographical latitude (ca. 40degreesN), the climate in southern Austria was warm (subtropical) with a pronounced seasonality at that time. In contrast, the delta(18)O isotopic composition of a pectinid (Flabellipecten sp.) and an indeterminate terebratulid brachiopod, from the siliciclastic deposits overlying the Leitha limestone, ranges between 0 and -1 parts per thousand. This indicates cooler mean annual temperatures and reduced seasonal variations. A Ar-39/Ar-40 age on fresh volcanic biotites shows a value of 14.2+/-0.1 Ma. The tuffs containing the biotites are located below the layer containing the terebratulid and the Flabellipecten sp. The stable isotope and radiogenic data suggest that the drop in temperature is in direct relationship with the East Antarctic Ice Sheet expansion, which started at ca. 14 Ma. Due to the variation in temperature, the subtropical fauna in the Retznei quarry disappeared during the Early Miocene and the biogenic limestones were replaced by clastic sediments. The delta(18)O isotopic profiles from three pectinids collected from the Leitha limestone indicate that these grew within ca. 1.5 years. Growth interruptions occurred during the warm season because during this period the pectinids very likely used their energy for the growth and maturation of gonads. Carbon isotopic compositions vary between 0 and 2 parts per thousand. Statistical tests show that for some of the analyzed shells, the cyclicity of the delta(13)C profiles may be explained by the temperature-dependent fractionation between air CO2 and dissolved bicarbonate. (C) 2003 Elsevier B.V. All rights reserved.</t>
  </si>
  <si>
    <t>Karl Franzens Univ Graz, Inst Geol &amp; Palaeontol, A-8010 Graz, Austria; Paris Lodron Univ, Inst Geol &amp; Palaeontol, A-5020 Salzburg, Austria</t>
  </si>
  <si>
    <t>University of Graz</t>
  </si>
  <si>
    <t>Karl Franzens Univ Graz, Inst Geol &amp; Palaeontol, Heinrichstr 26, A-8010 Graz, Austria.</t>
  </si>
  <si>
    <t>ana-voica.bojar@unigraz.at; alois.fenninger@unigraz.at; franz.neubauer@sbg.ac.at</t>
  </si>
  <si>
    <t>Bojar, Ana-Voica/AAA-8670-2020; Neubauer, Franz/HKV-8846-2023</t>
  </si>
  <si>
    <t>Bojar, Ana-Voica/0000-0002-5266-1754; Neubauer, Franz/0000-0002-1060-3054</t>
  </si>
  <si>
    <t>10.1016/S0031-0182(03)00662-X</t>
  </si>
  <si>
    <t>768QN</t>
  </si>
  <si>
    <t>WOS:000188586700005</t>
  </si>
  <si>
    <t>Six, D; Fily, M; Alvain, S; Henry, P; Benoist, JP</t>
  </si>
  <si>
    <t>Surface characterisation of the Dome Concordia area (Antarctica) as a potential satellite calibration site, using Spot 4/Vegetation instrument</t>
  </si>
  <si>
    <t>REMOTE SENSING OF ENVIRONMENT</t>
  </si>
  <si>
    <t>surface characterisation; Dome Concordia area (Antarctica); satellite calibration; spot 4/Vegetation instrument</t>
  </si>
  <si>
    <t>HIGH-RESOLUTION RADIOMETER; NEAR-INFRARED CHANNELS; AVHRR VISIBLE CHANNEL; BIDIRECTIONAL REFLECTANCE; DEGRADATION RATES; SNOW SURFACE; SOUTH-POLE; AEROSOL; SPACECRAFT; SENSORS</t>
  </si>
  <si>
    <t>A good calibration of satellite sensors is necessary to derive reliable quantitative measurements of the surface parameters or to compare data obtained from different sensors. In this study, the snow surface of the high plateau of the East Antarctic ice sheet, particularly the Dome C area (75degreesS, 123degreesE), is used first to test the quality of this site as a ground calibration target and then to determine the inter-annual drift in the sensitivity of the VEGETATION sensor, onboard the SPOT4 satellite. Dome C area has many good calibration site characteristics: The site is very flat and extremely homogeneous (only snow), there is little wind and a very small snow accumulation rate and therefore a small temporal variability, the elevation is 3200 m and the atmosphere is very clear most of the time. Finally, due to its location, it is frequently within view of many satellites. VEGETATION visible blue channel data (0.43 - 0.47 mum) of a 716 X 716 km(2) area centred on the French-Italian Dome Concordia station, during the 1998-1999, 1999-2000, 2001-2001, and 2001-2002 austral summers were cloud masked and atmospherically corrected. The snow surface Bidirectional Reflectance Distribution Function is very high with little spatial and seasonal variability, which is a major advantage for sensor calibration. The inter-annual variation is found to be very small, proving that the stability of the site is very good. (C) 2003 Elsevier Inc. All rights reserved.</t>
  </si>
  <si>
    <t>UJF, CNRS, Lab Glaciol &amp; Geophys Environm, F-38402 St Martin Dheres, France; CEA, CNRS, Lab Sci Climat &amp; Environm, F-91919 Gif Sur Yvette, France; Ctr Natl Etud Spatiales, Div Qual &amp; Traitement Imagerie Spatiale, F-33401 Toulouse, France</t>
  </si>
  <si>
    <t>Communaute Universite Grenoble Alpes; Universite Grenoble Alpes (UGA); Centre National de la Recherche Scientifique (CNRS); CEA; Centre National de la Recherche Scientifique (CNRS); Universite Paris Saclay</t>
  </si>
  <si>
    <t>Fily, M (corresponding author), UJF, CNRS, Lab Glaciol &amp; Geophys Environm, 54 Rue Moliere,BP 96, F-38402 St Martin Dheres, France.</t>
  </si>
  <si>
    <t>fily@lgge.obs.ujf-grenoble.fr</t>
  </si>
  <si>
    <t>ALVAIN, Severine/0000-0001-6316-6284</t>
  </si>
  <si>
    <t>0034-4257</t>
  </si>
  <si>
    <t>REMOTE SENS ENVIRON</t>
  </si>
  <si>
    <t>Remote Sens. Environ.</t>
  </si>
  <si>
    <t>10.1016/j.rse.2003.10.006</t>
  </si>
  <si>
    <t>Environmental Sciences; Remote Sensing; Imaging Science &amp; Photographic Technology</t>
  </si>
  <si>
    <t>Environmental Sciences &amp; Ecology; Remote Sensing; Imaging Science &amp; Photographic Technology</t>
  </si>
  <si>
    <t>761BH</t>
  </si>
  <si>
    <t>WOS:000187879000007</t>
  </si>
  <si>
    <t>Kulakova, L; Galkin, A; Nakayama, T; Nishino, T; Esaki, N</t>
  </si>
  <si>
    <t>Cold-active esterase from Psychrobacter sp Ant300:: gene cloning, characterization, and the effects of Gly→Pro substitution near the active site on its catalytic activity and stability</t>
  </si>
  <si>
    <t>BIOCHIMICA ET BIOPHYSICA ACTA-PROTEINS AND PROTEOMICS</t>
  </si>
  <si>
    <t>esterase; Psychrobacter sp.; substitution</t>
  </si>
  <si>
    <t>HORMONE-SENSITIVE LIPASE; PSYCHROPHILIC ENZYMES; SEQUENCE SIMILARITY; CRYSTAL-STRUCTURE; STRAIN B11-1; PSYCHROTROPH; THERMOSTABILITY; PURIFICATION; FLEXIBILITY; MUTAGENESIS</t>
  </si>
  <si>
    <t>The gene encoding an esterase (PsyEst) of Psychrobacter sp. Ant300, a psychrophilic bacterium isolated from Antarctic soil, was cloned, sequenced, and expressed in Escherichia coli. PsyEst, which is a member of hormone-sensitive lipase (HSL) group of the lipase/esterase family, is a cold-active, themolabile enzyme with high catalytic activity at low temperatures (5-25 degreesC), low activation energy (e.g., 4.6 kcal/ mol for hydrolysis of p-nitrophenyl butyrate), and a t(1/2) value of 16 min for thermal inactivation during incubation at 40 degreesC and pH 7.9. A three-dimensional structural model of PsyEst predicted that Gly(244) was located in the loop near the active site of PsyEst and that substitution of this amino-acid residue by proline should potentially rigidify the active-site environment of the enzyme. Thus, we introduced the Gly(244) --&gt; Pro substitution into the enzyme. Stability studies showed that the t(1/2) value for thermal inactivation of the mutant during incubation at 40 degreesC and pH 7.9 was 11.6 h, which was significantly greater than that of the wild-type enzyme. The k(cat)/K-m value of the mutant was lower for all substrates examined than the value of the wild type. Moreover, this amino-acid substitution caused a shift of the acyl-chain length specificity of the enzyme toward higher preference for short-chain fatty acid esters. All of these observations could be explained in terms of a decrease in active-site flexibility brought about by the mutation and were consistent with the hypothesis that cold activity and thermolability arise from local flexibility around the active site of the enzyme. (C) 2003 Elsevier B.V. All rights reserved.</t>
  </si>
  <si>
    <t>Kyoto Univ, Microbial Biochem Lab, Inst Chem Res, Kyoto 6110011, Japan; Tohoku Univ, Dept Biomol Engn, Grad Sch Engn, Sendai, Miyagi 9808579, Japan</t>
  </si>
  <si>
    <t>Kyoto University; Tohoku University</t>
  </si>
  <si>
    <t>Kyoto Univ, Microbial Biochem Lab, Inst Chem Res, Kyoto 6110011, Japan.</t>
  </si>
  <si>
    <t>esaki@scl.kyoto-u.ac.jp</t>
  </si>
  <si>
    <t>1570-9639</t>
  </si>
  <si>
    <t>0006-3002</t>
  </si>
  <si>
    <t>BBA-PROTEINS PROTEOM</t>
  </si>
  <si>
    <t>BBA-Proteins Proteomics</t>
  </si>
  <si>
    <t>JAN 14</t>
  </si>
  <si>
    <t>10.1016/j.bbapap.2003.09.008</t>
  </si>
  <si>
    <t>Biochemistry &amp; Molecular Biology; Biophysics</t>
  </si>
  <si>
    <t>768CU</t>
  </si>
  <si>
    <t>WOS:000188511300007</t>
  </si>
  <si>
    <t>Siurek, J; Chevallier, P; Ro, CU; Chun, HY; Youn, HS; Zieba, E; Kuczumow, A</t>
  </si>
  <si>
    <t>Studies on the wood tissue substitution by silica and calcite during the preservation of fossil wood</t>
  </si>
  <si>
    <t>JOURNAL OF ALLOYS AND COMPOUNDS</t>
  </si>
  <si>
    <t>6th International School and Symposium onSynchrotron Radiation in Natural Science</t>
  </si>
  <si>
    <t>JUN 17-22, 2002</t>
  </si>
  <si>
    <t>USTRON JASZOWIEC, POLAND</t>
  </si>
  <si>
    <t>crystal growth; grain boundaries; scanning and transmission electron microscopy; X-ray diffraction; synchrotron radiation</t>
  </si>
  <si>
    <t>X-RAY-FLUORESCENCE; RESOLVING VOLCANIC ACTIVITY; PETRIFIED WOOD; RELATIVE ACCURACY; EARLY STAGE; TREE-RINGS; 1 YR; DIAGENESIS; MICROPROBE; ANTARCTICA</t>
  </si>
  <si>
    <t>Three representative samples of petrified wood were investigated: wood from King George Island, Antarctica; wood from Bio-Bio province, middle Chile and wood from Lukow, Poland. Microdiffraction measurements of the Chilean and Lukow wood were made at LURE. Chilean and Antarctic samples were permineralised by silica material, but the share of undefined calcium silicates in construction of some intracellular locations in the latter sample was significant. In contrast, the wood from Lukow was replaced by calcite with a small presence of secondary silica. Linear scans were conducted using the X-ray microfluorescence beamlines in synchrotron devices in Orsay, France and Pohang, South Korea. The results were completed by the measurements of light elements with the use of electron microprobe. The list of major and minor constituents of all samples was established. The occurrence of such medium-Z elements as Fe, Zn, Cu and Ni was common in the samples. The samples of Chilean wood were more enriched in trace elements and minor amounts of As, La, Br and Cl were found in addition to the previously mentioned elements. Correlation of the trace element contents with the ring structure of the wood was detected. The annual ring, tissue and even cell details of the original wood were preserved by silica and calcite minerals and could be studied using the elemental mapping technique. Implications of the recent study for the material science are indicated. (C) 2003 Elsevier B.V. All rights reserved.</t>
  </si>
  <si>
    <t>Lublin Catholic Univ, Dept Chem, PL-20718 Lublin, Poland; Lublin Catholic Univ, KUL, Electron Microscopy Lab, PL-20718 Lublin, Poland; Pohang Accelerator Lab, Pohang 790784, South Korea; Korean Inst Geosci &amp; Mineral Resources, Taejon 305350, South Korea; Hallym Univ, Dept Chem, Chunchon 200702, Kangwon Do, South Korea; Univ Paris 11, LURE, F-91405 Orsay, France; CEN Saclay, LPS, F-91405 Orsay, France</t>
  </si>
  <si>
    <t>Catholic University of Lublin; Catholic University of Lublin; Pohang University of Science &amp; Technology (POSTECH); Korea Institute of Geoscience &amp; Mineral Resources (KIGAM); Hallym University; Universite Paris Saclay</t>
  </si>
  <si>
    <t>Kuczumow, A (corresponding author), Lublin Catholic Univ, Dept Chem, PL-20718 Lublin, Poland.</t>
  </si>
  <si>
    <t>Ro, Chul-Un/R-3410-2019</t>
  </si>
  <si>
    <t>Ro, Chul-Un/0000-0001-9357-1854</t>
  </si>
  <si>
    <t>ELSEVIER SCIENCE SA</t>
  </si>
  <si>
    <t>LAUSANNE</t>
  </si>
  <si>
    <t>PO BOX 564, 1001 LAUSANNE, SWITZERLAND</t>
  </si>
  <si>
    <t>0925-8388</t>
  </si>
  <si>
    <t>J ALLOY COMPD</t>
  </si>
  <si>
    <t>J. Alloy. Compd.</t>
  </si>
  <si>
    <t>10.1016/S0925-8388(03)00570-X</t>
  </si>
  <si>
    <t>Chemistry, Physical; Materials Science, Multidisciplinary; Metallurgy &amp; Metallurgical Engineering</t>
  </si>
  <si>
    <t>Chemistry; Materials Science; Metallurgy &amp; Metallurgical Engineering</t>
  </si>
  <si>
    <t>757HP</t>
  </si>
  <si>
    <t>WOS:000187557200018</t>
  </si>
  <si>
    <t>Grannas, AM; Shepson, PB; Filley, TR</t>
  </si>
  <si>
    <t>Photochemistry and nature of organic matter in Arctic and Antarctic snow</t>
  </si>
  <si>
    <t>snowpack photochemistry; ice cores; atmospheric particulate matter; lignin phenols; dissolved organic matter (DOM); biomarkers</t>
  </si>
  <si>
    <t>ATMOSPHERIC TRANSPORT; DICARBOXYLIC-ACIDS; CARBONYL-COMPOUNDS; PLANT-TISSUES; LIGNIN; SUMMIT; FORMALDEHYDE; GREENLAND; ICE; AIR</t>
  </si>
  <si>
    <t>It has been shown that sunlit snowpacks are photochemically active, producing a number of species that can significantly impact the overlying atmosphere. Here we investigate the origin of the flux of low molecular weight carbonyl compounds (formaldehyde and acetaldehyde) from sunlit snow obtained from both Arctic (Alert, Canada, and Summit, Greenland) and Antarctic (South Pole) sources. In addition, efforts to characterize the potential snow-phase organic matter (SPOM) precursors were undertaken. Using chemically characterized SPOM, we find that formaldehyde and acetaldehyde are produced upon irradiation, and that production is enhanced with the addition of nitrate (a precursor to OH radicals). SPOM from both Alert and Summit is found to be derived from a variety of sources, including vascular plants. This indicates deposition of atmospheric particulate matter containing vascular tissue to high-altitude Arctic snow. These findings open a potential window for a rich record of variations in terrestrial vegetation-derived aerosol signals that could be preserved in ice cores.</t>
  </si>
  <si>
    <t>Purdue Univ, Dept Chem, W Lafayette, IN 47907 USA; Purdue Univ, Dept Earth &amp; Atmospher Sci, W Lafayette, IN 47907 USA</t>
  </si>
  <si>
    <t>Purdue University System; Purdue University; Purdue University System; Purdue University</t>
  </si>
  <si>
    <t>Ohio State Univ, Dept Chem, 120 W 18th Ave,Box 466, Columbus, OH 43210 USA.</t>
  </si>
  <si>
    <t>agrannas@chemistry.ohio-state.edu; pshepson@purdue.edu; filley@purdue.edu</t>
  </si>
  <si>
    <t>Filley, Timothy R/A-9862-2009; Shepson, Paul B/E-9955-2012; Grannas, Amanda/F-4804-2010</t>
  </si>
  <si>
    <t>Grannas, Amanda/0000-0003-4719-348X; Filley, Timothy R./0000-0001-7250-5065</t>
  </si>
  <si>
    <t>JAN 10</t>
  </si>
  <si>
    <t>GB1006</t>
  </si>
  <si>
    <t>10.1029/2003GB002133</t>
  </si>
  <si>
    <t>765MF</t>
  </si>
  <si>
    <t>WOS:000188286800002</t>
  </si>
  <si>
    <t>Walpole, BG</t>
  </si>
  <si>
    <t>The public hospital of the future</t>
  </si>
  <si>
    <t>MEDICAL JOURNAL OF AUSTRALIA</t>
  </si>
  <si>
    <t>Australian Antarctic Div, Kingston, Tas 7050, Australia</t>
  </si>
  <si>
    <t>Walpole, BG (corresponding author), Australian Antarctic Div, Channel Highway, Kingston, Tas 7050, Australia.</t>
  </si>
  <si>
    <t>bwalpole@tassie.net.au</t>
  </si>
  <si>
    <t>AUSTRALASIAN MED PUBL CO LTD</t>
  </si>
  <si>
    <t>SYDNEY</t>
  </si>
  <si>
    <t>LEVEL 1, 76 BERRY ST, SYDNEY, NSW 2060, AUSTRALIA</t>
  </si>
  <si>
    <t>0025-729X</t>
  </si>
  <si>
    <t>MED J AUSTRALIA</t>
  </si>
  <si>
    <t>Med. J. Aust.</t>
  </si>
  <si>
    <t>JAN 5</t>
  </si>
  <si>
    <t>10.5694/j.1326-5377.2004.tb05784.x</t>
  </si>
  <si>
    <t>Medicine, General &amp; Internal</t>
  </si>
  <si>
    <t>General &amp; Internal Medicine</t>
  </si>
  <si>
    <t>762MD</t>
  </si>
  <si>
    <t>WOS:000187975400021</t>
  </si>
  <si>
    <t>Pitulko, VV; Nikolsky, PA; Girya, EY; Basilyan, AE; Tumskoy, VE; Koulakov, SA; Astakhov, SN; Pavlova, EY; Anisimov, MA</t>
  </si>
  <si>
    <t>The Yana RHS site: Humans in the Arctic before the Last Glacial Maximum</t>
  </si>
  <si>
    <t>SCIENCE</t>
  </si>
  <si>
    <t>COLONIZATION; PLEISTOCENE</t>
  </si>
  <si>
    <t>A newly discovered Paleolithic site on the Yana River, Siberia, at 71degreesN, lies well above the Arctic circle and dates to 27,000 radiocarbon years before present, during glacial times. This age is twice that of other known human occupations in any Arctic region. Artifacts at the site include a rare rhinoceros foreshaft, other mammoth foreshafts, and a wide variety of tools and flakes. This site shows that people adapted to this harsh, high-latitude, Late Pleistocene environment much earlier than previously thought.</t>
  </si>
  <si>
    <t>Russian Acad Sci, Inst Hist Mat Culture, St Petersburg 191186, Russia; Russian Acad Sci, Inst Geol, Moscow 119017, Russia; Moscow MV Lomonosov State Univ, Fac Geog, Geol Res Lab N, Moscow 119992, Russia; Arctic &amp; Antarctic Res Inst, St Petersburg 199397, Russia</t>
  </si>
  <si>
    <t>Russian Academy of Sciences; St. Petersburg Scientific Centre of the Russian Academy of Sciences; Institute for the History of Material Culture, Russian Academy of Sciences; Russian Academy of Sciences; Geological Institute, Russian Academy of Sciences; Lomonosov Moscow State University; Arctic &amp; Antarctic Research Institute</t>
  </si>
  <si>
    <t>Russian Acad Sci, Inst Hist Mat Culture, 18 Dvortsovaya Nab St, St Petersburg 191186, Russia.</t>
  </si>
  <si>
    <t>archeo@archeo.ru</t>
  </si>
  <si>
    <t>Pitulko, Vladimir/E-2200-2015; Nikolskiy, Pavel A/C-5041-2012; Girya, Evgeniy/AAC-5774-2020; Astakhov, Sergej/AAC-5889-2020; Pitulko, Vladimir/N-4009-2019; Nikolskiy, Pavel/JNT-4697-2023; Pavlova, Elena/AAA-3291-2019; Tumskoy, Vladimir/Y-5682-2018</t>
  </si>
  <si>
    <t>Pitulko, Vladimir/0000-0001-5672-2756; Astakhov, Sergej/0000-0001-9266-3001; Pavlova, Elena/0000-0002-3010-6290; Tumskoy, Vladimir/0000-0002-1462-1444</t>
  </si>
  <si>
    <t>AMER ASSOC ADVANCEMENT SCIENCE</t>
  </si>
  <si>
    <t>1200 NEW YORK AVE, NW, WASHINGTON, DC 20005 USA</t>
  </si>
  <si>
    <t>0036-8075</t>
  </si>
  <si>
    <t>1095-9203</t>
  </si>
  <si>
    <t>Science</t>
  </si>
  <si>
    <t>JAN 2</t>
  </si>
  <si>
    <t>10.1126/science.1085219</t>
  </si>
  <si>
    <t>758YU</t>
  </si>
  <si>
    <t>WOS:000187710600028</t>
  </si>
  <si>
    <t>C</t>
  </si>
  <si>
    <t>Behar, A; Matthews, J; Carsey, F; Jones, J</t>
  </si>
  <si>
    <t>ieee</t>
  </si>
  <si>
    <t>NASA/JPL Tumbleweed Polar Rover</t>
  </si>
  <si>
    <t>2004 IEEE AEROSPACE CONFERENCE PROCEEDINGS, VOLS 1-6</t>
  </si>
  <si>
    <t>IEEE AEROSPACE CONFERENCE PROCEEDINGS</t>
  </si>
  <si>
    <t>Proceedings Paper</t>
  </si>
  <si>
    <t>IEEE Aerospace Conference</t>
  </si>
  <si>
    <t>MAR 06-13, 2004</t>
  </si>
  <si>
    <t>Big Sky, MT</t>
  </si>
  <si>
    <t>The Tumbleweed Rover, currently under development at the Jet Propulsion Laboratory (JPL) in Pasadena, California, is a large, windblown, inflated ball, which carries an instrument payload in its interior. Such rovers offer an effective and simple means of gathering data over large spatial extents of Earth, Mars, and other solar system bodies. Tumbleweeds could prove to be a safe and economical way of deploying instruments such as a ground penetrating radar or a magnetometer in numerous hostile environments. The latest version of the rover was recently deployed in Greenland, where it completed a more than 130km autonomous traverse across an ice sheet. Communicating via the Iridium satellite network, the rover in question successfully and reliably relayed live GPS, temperature, and pressure data to a ground station at JPL for nearly ten days. The follow-on rover is currently being readied for a traverse from the South Pole to the coast of Antarctica some 2000km away. The Antarctic test is set to take place in February of 2004 and will serve to verify Tumbleweed as an effective means of harvesting data in extreme and remote settings.</t>
  </si>
  <si>
    <t>CALTECH, Jet Prop Lab, Pasadena, CA 91109 USA</t>
  </si>
  <si>
    <t>National Aeronautics &amp; Space Administration (NASA); NASA Jet Propulsion Laboratory (JPL); California Institute of Technology</t>
  </si>
  <si>
    <t>Behar, A (corresponding author), CALTECH, Jet Prop Lab, Pasadena, CA 91109 USA.</t>
  </si>
  <si>
    <t>IEEE</t>
  </si>
  <si>
    <t>345 E 47TH ST, NEW YORK, NY 10017 USA</t>
  </si>
  <si>
    <t>1095-323X</t>
  </si>
  <si>
    <t>0-7803-8155-6</t>
  </si>
  <si>
    <t>AEROSP CONF PROC</t>
  </si>
  <si>
    <t>10.1109/AERO.2004.1367622</t>
  </si>
  <si>
    <t>Engineering, Aerospace</t>
  </si>
  <si>
    <t>Conference Proceedings Citation Index - Science (CPCI-S)</t>
  </si>
  <si>
    <t>Engineering</t>
  </si>
  <si>
    <t>BBF75</t>
  </si>
  <si>
    <t>WOS:000225274000038</t>
  </si>
  <si>
    <t>Farrell, JA; Pang, S; Li, W; Arrieta, RM</t>
  </si>
  <si>
    <t>Biologically inspired chemical plume tracing on an autonomous underwater vehicle</t>
  </si>
  <si>
    <t>2004 IEEE INTERNATIONAL CONFERENCE ON SYSTEMS, MAN &amp; CYBERNETICS, VOLS 1-7</t>
  </si>
  <si>
    <t>IEEE International Conference on Systems Man and Cybernetics Conference Proceedings</t>
  </si>
  <si>
    <t>IEEE International Conference on Systems, Man and Cybernetics</t>
  </si>
  <si>
    <t>OCT 10-13, 2004</t>
  </si>
  <si>
    <t>The Hague, NETHERLANDS</t>
  </si>
  <si>
    <t>chemical plume tracing; autonomous vehicles; bio-mimetic</t>
  </si>
  <si>
    <t>ODOR PLUMES; ORIENTATION; TRACKING; MOTHS; BEHAVIOR; LOBSTER; FLIGHT</t>
  </si>
  <si>
    <t>Olfactory-based mechanisms are hypothesized for a variety of biological behaviors. Typically, such hypotheses combine a large-scale olfaction based orientation behavior with a multisensor local search near the source. Long-range olfactory-based search which involves chemical plume tracing is documented in moths at ranges of 100-1000 m and in Antarctic procellariiform seabirds over 1000 kin. This article presents a biomimetic algorithm to replicate these Chemical Plume Tracing feats in an autonomous underwater vehicle (AUV). The objective is to locate the stationary source of a chemical that is transported in a turbulent fluid flow. Such AUV capabilities have applicability in searching for environmentally interesting phenomena, hazardous chemicals, and pollutants. This article presents a complete strategy and results from successful, large-scale, in-water tests of this strategy. Amongst other accomplishments, these tests succeeded in tracking a plume 975 in and declaring the source location with 13 m accuracy.</t>
  </si>
  <si>
    <t>Univ Calif Riverside, Dept Elect Engn, Riverside, CA 92506 USA</t>
  </si>
  <si>
    <t>University of California System; University of California Riverside</t>
  </si>
  <si>
    <t>Univ Calif Riverside, Dept Elect Engn, Riverside, CA 92506 USA.</t>
  </si>
  <si>
    <t>farrell@ee.ucr.edu; spang@ee.ucr.edu; wli@cs.csubak.edu; rich.arrieta@navy.mil</t>
  </si>
  <si>
    <t>Farrell, Jay A./A-6887-2017</t>
  </si>
  <si>
    <t>Farrell, Jay A./0000-0002-2077-8691</t>
  </si>
  <si>
    <t>1062-922X</t>
  </si>
  <si>
    <t>0-7803-8566-7</t>
  </si>
  <si>
    <t>IEEE SYS MAN CYBERN</t>
  </si>
  <si>
    <t>Automation &amp; Control Systems; Computer Science, Artificial Intelligence; Computer Science, Cybernetics; Robotics</t>
  </si>
  <si>
    <t>Automation &amp; Control Systems; Computer Science; Robotics</t>
  </si>
  <si>
    <t>BBP32</t>
  </si>
  <si>
    <t>WOS:000226863301009</t>
  </si>
  <si>
    <t>Liu, XD; Sun, LG; Yin, XB</t>
  </si>
  <si>
    <t>Textural and geochemical characteristics of proglacial sediments: A case study in the foreland of the Nelson Ice Cap, Antarctica</t>
  </si>
  <si>
    <t>ACTA GEOLOGICA SINICA-ENGLISH EDITION</t>
  </si>
  <si>
    <t>proglacial sediment; grain size; fractal dimension; element abundance; chemical weathering</t>
  </si>
  <si>
    <t>SOR-RONDANE MOUNTAINS; METAL CONTAMINATION; VOLCANIC-ROCKS; VESTFOLD HILLS; MAJOR-ELEMENT; ISLAND; NORMALIZATION; ENVIRONMENT; PROVENANCE; DISTRIBUTIONS</t>
  </si>
  <si>
    <t>This paper presents a detailed study on the textural and geochemical characteristics of the proglacial sediments near the edge of modem Nelson Ice Cap, Antarctica. The grain size distributions of the proglacial sediments are characteristic of glacigenic deposits, but very different from those of aeolian and lacustrine sediments. Moreover, the grain size distributions of the proglacial sediments are fractal with a dimension of about 2.9, and the fractal dimensions can be used as another summary statistical parameter for quantifying the relative amounts of coarse and fine materials. Correlations between the absolute element abundances of the proglacial sediments are very weak due to mineral partitioning and other effects of glacial processes, but correlations between the element/Rb ratios are statistically significant. This finding indicates that element/Rb ratios can be used to reduce or eliminate the effects of glacial processes, evaluate geochemical data and determine the sediment provenance in the foreland of Antarctic glacier. Comparisons on the element concentrations among different environments suggest that the proglacial sediments are derived predominantly from local bedrocks and appear to be natural in origin. Thus these natural sediments can be used to study chemical weathering in the proglacial foreland of modem glacier.</t>
  </si>
  <si>
    <t>Univ Sci &amp; Technol China, Inst Polar Environm, Hefei 230026, Anhui, Peoples R China</t>
  </si>
  <si>
    <t>Chinese Academy of Sciences; University of Science &amp; Technology of China, CAS</t>
  </si>
  <si>
    <t>Liu, XD (corresponding author), Univ Sci &amp; Technol China, Inst Polar Environm, Hefei 230026, Anhui, Peoples R China.</t>
  </si>
  <si>
    <t>slg@ustc.edu.cn; ycx@ustc.edu.cn</t>
  </si>
  <si>
    <t>1000-9515</t>
  </si>
  <si>
    <t>1755-6724</t>
  </si>
  <si>
    <t>ACTA GEOL SIN-ENGL</t>
  </si>
  <si>
    <t>Acta Geol. Sin.-Engl. Ed.</t>
  </si>
  <si>
    <t>870TZ</t>
  </si>
  <si>
    <t>WOS:000225082500010</t>
  </si>
  <si>
    <t>Lu, R; Miao, BK; Wang, G; Dai, DQ; Lin, YT; Ouyang, ZY; Li, CL</t>
  </si>
  <si>
    <t>Classification of 24 new ordinary chondrites from the Grove Mountains, Antarctica</t>
  </si>
  <si>
    <t>Antarctica; meteorite; ordinary chondrite; classification; shock metamorphism; thermal metamorphism</t>
  </si>
  <si>
    <t>TERRESTRIAL AGES; METEORITES; POPULATIONS</t>
  </si>
  <si>
    <t>Petrography and mineral chemistry of 24 ordinary chondrites from the Grove Mountains, Antarctica, have been studied in order to identify their chemical-petrographic types. These samples were selected from a total of 4448 Grove Mountains (GRV) meteorites collected during the 19th Chinese Antarctic Research Expedition so as to make an estimation of the large GRV meteorite collection. The chemical-petrographic types of these meteorites are presented below: 1 H3, 2 H4, 4 H5, 2 H6, 1 L4, 7 L5, 5 L6, 1 LL4 and 1 LL6. The new data weaken the previous report that unequilibrated ordinary chondrites are unusually abundant in the Grove Mountains region. However, this work confirms significant differences in distribution patterns of chemical-petrographic types between the Grove Mountains and other regions in Antarctica. Many of these meteorites show significant terrestrial weathering, probably due to a high abundance ratio of meteorites found in moraines to those on blue ice. Nine meteorites experienced severe shock metamorphism, as evidenced by undulose extinction and intense fracturing of silicates and presence of shock-induced melt veins and pockets. These heavily shocked meteorites provided us with natural samples for the study of high-pressure polymorphs of minerals.</t>
  </si>
  <si>
    <t>Chinese Acad Sci, Inst Geochem, Guiyang 550002, Guizhou, Peoples R China; Chinese Acad Sci, Grad Sch, Beijing 100039, Peoples R China; Chinese Acad Sci, Inst Geol &amp; Geophys, Beijing 100090, Peoples R China; Chinese Acad Sci, Guangzhou Inst Geochem, Guangzhou 510640, Guangdong, Peoples R China; Chinese Acad Sci, Natl Astron Observ, Beijing 100012, Peoples R China</t>
  </si>
  <si>
    <t>Chinese Academy of Sciences; Institute of Geochemistry, CAS; Chinese Academy of Sciences; University of Chinese Academy of Sciences, CAS; Chinese Academy of Sciences; Institute of Geology &amp; Geophysics, CAS; Chinese Academy of Sciences; Guangzhou Institute of Geochemistry, CAS; Chinese Academy of Sciences; National Astronomical Observatory, CAS</t>
  </si>
  <si>
    <t>Chinese Acad Sci, Inst Geochem, Guiyang 550002, Guizhou, Peoples R China.</t>
  </si>
  <si>
    <t>Linyt@mail.igcas.ac.cn</t>
  </si>
  <si>
    <t>Lin, Yangting/A-8845-2015; lin, yt/IQT-6771-2023</t>
  </si>
  <si>
    <t>888PS</t>
  </si>
  <si>
    <t>WOS:000226387300005</t>
  </si>
  <si>
    <t>Chen, LQ; Gao, ZY; Yang, XL; Wang, WQ</t>
  </si>
  <si>
    <t>Comparison of air-sea fluxes of CO2 in the Southern Ocean and the western Arctic Ocean</t>
  </si>
  <si>
    <t>ACTA OCEANOLOGICA SINICA</t>
  </si>
  <si>
    <t>CO2 air-sea exchange; global change; Southern Ocean; western Arctic Ocean</t>
  </si>
  <si>
    <t>The data were collected during Chinese Arctic and Antarctic Expeditions in the western Arctic Ocean and the marginal sea ice zone (MSIZ) of the Southern Ocean, respectively in the boreal summer from July to September of 1999 and in the austral summer from December of 1999 to January of 2000. The concentrations of CO2 in surface water of the survey regions would mostly present lower than those in the atmosphere. A significant biological driving force could also been observed in summer waters in both of the above oceans. Air to sea CO2 fluxes were also calculated to compare oceanic uptake capacity of CO2 in both oceans with the world oceans using Liss, Wanninkhof, and Jacobs's methods. The averaged CO2 fluxes of air to sea in the western Arctic Ocean or in the MSIZ of the Southern Ocean doubled that in the world oceans.</t>
  </si>
  <si>
    <t>State Ocean Adm, Key Lab Global Change &amp; Marine Atmospher Chem, Xiamen 361005, Peoples R China; State Ocean Adm, Inst Oceanog 3, Xiamen 361005, Peoples R China; Chinese Arctic &amp; Antarct Adm, Beijing 100860, Peoples R China</t>
  </si>
  <si>
    <t>Third Institute of Oceanography, Ministry of Natural Resources</t>
  </si>
  <si>
    <t>Chen, LQ (corresponding author), State Ocean Adm, Key Lab Global Change &amp; Marine Atmospher Chem, Xiamen 361005, Peoples R China.</t>
  </si>
  <si>
    <t>Lqchen@soa.gov.cn</t>
  </si>
  <si>
    <t>Yang, Xulin/O-2253-2014</t>
  </si>
  <si>
    <t>CHINA OCEAN PRESS</t>
  </si>
  <si>
    <t>INTERNATIONAL DEPT, 8 DA HUI SHI, BEIJING 100081, PEOPLES R CHINA</t>
  </si>
  <si>
    <t>0253-505X</t>
  </si>
  <si>
    <t>ACTA OCEANOL SIN</t>
  </si>
  <si>
    <t>Acta Oceanol. Sin.</t>
  </si>
  <si>
    <t>884LF</t>
  </si>
  <si>
    <t>WOS:000226085700008</t>
  </si>
  <si>
    <t>Yang, XX; Lin, XZ; Bian, J; Sun, XQ; Huang, XH</t>
  </si>
  <si>
    <t>Identification of five strains of antarctic bacteria producing low-temperature lipase</t>
  </si>
  <si>
    <t>antarctic bacteria; low-temperature lipase; 16S rDNA phylogenetic analysis</t>
  </si>
  <si>
    <t>PROPOSAL; DEEP; SEA</t>
  </si>
  <si>
    <t>Five strains of antarctic bacteria producing extracellular low-temperature lipase are screened from seawater collected by CTD during the Chinese 18th Antarctic Scientific Expedition. Their phylogenetic positions on the basis of amplification, comparison and analysis of almost complete 16S rDNA sequence are determined by neighbor-joining analysis. Phylogenetic analysis indicates that all of these five strains belong to gamma-proteobacteria. The strains 1-1-10-2 and 9-2 are classified as genus Pseudoalteromonas sp. and genus Psychrobacter sp. respectively. The strains 2-5-10-1, 2-2-2-1 and 1-2-8-1 are classified as genus Moritella sp.</t>
  </si>
  <si>
    <t>Ocean Univ Qingdao, Coll Fisheries, Qingdao 266071, Peoples R China; State Ocean Adm, Inst Oceanog 1, Qingdao 266061, Peoples R China</t>
  </si>
  <si>
    <t>Ocean University of China; First Institute of Oceanography, Ministry of Natural Resources</t>
  </si>
  <si>
    <t>Ocean Univ Qingdao, Coll Fisheries, Qingdao 266071, Peoples R China.</t>
  </si>
  <si>
    <t>yxx7609@163.com</t>
  </si>
  <si>
    <t>1869-1099</t>
  </si>
  <si>
    <t>WOS:000226085700015</t>
  </si>
  <si>
    <t>Chwedorzewska, KJ; Bednarek, PT; Puchalski, J</t>
  </si>
  <si>
    <t>Molecular variation of Antarctic grass Deschampsia antarctica Desv. from King George Island (Antarctica)</t>
  </si>
  <si>
    <t>ACTA SOCIETATIS BOTANICORUM POLONIAE</t>
  </si>
  <si>
    <t>Deschampsia antarctica; AFLP; genetic variation; Antarctic</t>
  </si>
  <si>
    <t>AFLP; DIVERSITY</t>
  </si>
  <si>
    <t>Deschampsia antarctica Desv. plants collected on King George Islands (Antarctica) at two localities that differ in topographic and nutrition conditions exhibited morphological variation that differentiated plants of both locations. The molecular variation characteristic to individuals of both sites was tested using AFLP approach in order to verify whether morphological variation characteristic to the plants resulted from environmental factors or possibly from differences at the DNA level. Four primer pair combinations were used to generate 339 AFLP fragments, 132 of which were polymorphic and allowed evaluation of genetic relationships among D. antarctica individuals. Chi-square test revealed that only 12 signals were discriminative for the plants from both locations. Cluster analysis conducted on these AFLP fragments demonstrated that plants from the location rich in biogenes were more polymorphic than those from poor one. Our data suggest that the phenotypic variation specific to plants of both locations seem to be the result of adaptation to the environmental conditions like soil and moisture rather than reflect genetic differences.</t>
  </si>
  <si>
    <t>Polish Acad Sci, Dept Antarct Biol, PL-02141 Warsaw, Poland; Polish Acad Sci, Bot Garden, Ctr Biol Divers Conservat, PL-02973 Warsaw, Poland; Plant Breeding &amp; Acclimatiz Inst, PL-05870 Warsaw, Poland</t>
  </si>
  <si>
    <t>Polish Academy of Sciences; Polish Academy of Sciences; Institute of Plant Breeding &amp; Acclimatization</t>
  </si>
  <si>
    <t>Polish Acad Sci, Dept Antarct Biol, Ustrzycka 10-12, PL-02141 Warsaw, Poland.</t>
  </si>
  <si>
    <t>tmol.ob.@ihar.edu.pl</t>
  </si>
  <si>
    <t>Bednarek, Piotr/A-9523-2009; Chwedorzewska, Katarzyna J/A-9480-2008; Chwedorzewska, Katarzyna/M-9721-2019</t>
  </si>
  <si>
    <t>Chwedorzewska, Katarzyna/0000-0001-6860-3666</t>
  </si>
  <si>
    <t>POLSKIE TOWARZYSTWO BOTANICZNE</t>
  </si>
  <si>
    <t>WARSAW</t>
  </si>
  <si>
    <t>AL UJAZDOWSKIE 4, 00-478 WARSAW, POLAND</t>
  </si>
  <si>
    <t>0001-6977</t>
  </si>
  <si>
    <t>2083-9480</t>
  </si>
  <si>
    <t>ACTA SOC BOT POL</t>
  </si>
  <si>
    <t>Acta Soc. Bot. Pol.</t>
  </si>
  <si>
    <t>808CV</t>
  </si>
  <si>
    <t>WOS:000220548100004</t>
  </si>
  <si>
    <t>Mori, M; Butterworth, DS</t>
  </si>
  <si>
    <t>Consideration of multispecies interactions in the Antarctic: A preliminary model of the minke whale - Blue whale - Krill interaction</t>
  </si>
  <si>
    <t>AFRICAN JOURNAL OF MARINE SCIENCE</t>
  </si>
  <si>
    <t>Workshop on Ecosystem Approaches to Fisheries Management in the Southern Benguela</t>
  </si>
  <si>
    <t>DEC 04-06, 2002</t>
  </si>
  <si>
    <t>Cape Town, SOUTH AFRICA</t>
  </si>
  <si>
    <t>Antarctic; blue whale; krill; minke whale; multispecies model; predator-prey interaction</t>
  </si>
  <si>
    <t>ECOSYSTEM MANAGEMENT; EUPHAUSIA-SUPERBA; FOOD-CONSUMPTION; MARINE ECOSYSTEM; FUR SEALS; PREDATORS; ABUNDANCE; DENSITY; DIET; RECRUITMENT</t>
  </si>
  <si>
    <t>As a first step in investigating the major predator-prey interactions in the Antarctic, a model describing blue whales Balaenoptera musculus, minke whales Balaenoptera acutorostrata and krill Euphausia superba is developed. Blue and minke whales feed mainly on krill, and they share a similar feeding area near the Antarctic ice edge. In the early 20(th) century, the large baleen whales in the Antarctic were heavily harvested, some to near extinction. Blue whales were taken for almost 60 years, before being officially protected in 1964. Harvesting of the smaller minke whales commenced only in the 1970s, and the population probably increased during the mid 20th century, likely in response to increased krill abundance following the depletion of the large baleen whales. Recent studies show recoveries of some of these large baleen whale species in response to protection, and also a possible recent decrease in the stock of minke whales as the larger whales recover. This work investigates whether the abundance trends indicated by surveys and other information for these species can be explained by considering only harvesting and the predator-prey interactions between the two whale species and krill. Using historical catch data for blue and minke whales, a simple age-aggregated model including species interactions is fitted to survey abundance estimates. Uncertainties in the abundance estimates and the biological parameters are taken into account in the process by considering plausible ranges for their values. Abundance trends for the species can broadly be replicated by the model, provided the parameter values show certain features, including (i) that blue whales are able to maintain their birth and krill consumption rates until krill abundance drops to relatively low levels, and (ii) that both minke and blue whales show relatively fast rates of growth if krill is abundant, but that minke growth rate falls more rapidly as krill abundance drops. The model suggests two interesting features of the dynamics of these species. First, a substantial decrease in krill biomass from the 1970s to the 1990s as a result of the preceding rapid increase in minke whale abundance, and hence krill consumption, following the depletion of the larger baleen whales. Second, a recovery of blue whales despite the impact of minke whales on krill abundance and its resultant decrease, because blue whales are better able to tolerate decreased krill abundance. Future projections show a gradual increasing trend in blue whale abundance and a gradual decrease in minke abundance, with large amplitude oscillations superimposed. Long-term monitoring of biological parameters and abundance are essential to provide a basis for verification or otherwise of such predictions. Results presented here should be viewed qualitatively rather than quantitatively. However, for the future, refinement of the model structure and incorporation of age structure, data on some other major predator species that feed on krill and some spatial structure, is under consideration.</t>
  </si>
  <si>
    <t>Univ Cape Town, Dept Math &amp; Appl Math, MARAM, ZA-7701 Rondebosch, South Africa</t>
  </si>
  <si>
    <t>University of Cape Town</t>
  </si>
  <si>
    <t>Univ Cape Town, Dept Math &amp; Appl Math, MARAM, ZA-7701 Rondebosch, South Africa.</t>
  </si>
  <si>
    <t>mmori@maths.uct.ac.za</t>
  </si>
  <si>
    <t>Miyagawa, Mitsuyo/0000-0002-3715-1342</t>
  </si>
  <si>
    <t>1814-232X</t>
  </si>
  <si>
    <t>1814-2338</t>
  </si>
  <si>
    <t>AFR J MAR SCI</t>
  </si>
  <si>
    <t>Afr. J. Mar. Sci.</t>
  </si>
  <si>
    <t>10.2989/18142320409504060</t>
  </si>
  <si>
    <t>864LX</t>
  </si>
  <si>
    <t>WOS:000224636100016</t>
  </si>
  <si>
    <t>Plagányi, ÉE; Butterworth, DS</t>
  </si>
  <si>
    <t>A critical look at the potential of ecopath with ECOSIM to assist in practical fisheries management</t>
  </si>
  <si>
    <t>assessment; ECOPATH; ECOSIM; EwE; fisheries; foraging arena; functional response; management; multispecies; review</t>
  </si>
  <si>
    <t>LIFE-HISTORY EVOLUTION; HAKES MERLUCCIUS CAPENSIS; SINGLE-SPECIES MODELS; ANTARCTIC FUR SEALS; COD GADUS-MORHUA; MARINE ECOSYSTEM; FUNCTIONAL-RESPONSE; FUTURE CONSUMPTION; MULTISPECIES VPA; STOCK ASSESSMENT</t>
  </si>
  <si>
    <t>Ecosystem-orientated thinking is increasingly incorporated into fishery management. Given the complexity of ecosystem processes, there is a need to evaluate the tools used to steer this thinking critically. ECOPATH with ECOSIM (EwE), an aggregate system-modelling package, is currently the most widely employed approach to assess the ecosystem effects of fishing. The basic equations and assumptions, strengths and weaknesses, and the potential of this approach to contribute to practical fisheries management advice are reviewed. Strengths include the structured parameterization framework, the inclusion of a well-balanced level of conceptual realism, a novel representation of predator-prey interaction terms, and the inclusion of a Bayes-like approach (ECORANGER) to take account of the uncertainty associated with values for model inputs. Weaknesses in model structure include the constraining nature of the mass-balance assumption (of ECOPATH) for initiating projections, the questionable handling of life history responses such as compensatory changes in the natural mortality rates of marine mammals, overcompensatory stock-recruit relationships that result from default parameter settings, possible problems in extrapolating from the microscale to the macroscale, as well as some (not too far-reaching) mathematical inconsistencies in the underlying equations. There is a paucity of systematic and stepwise investigations into model behaviour and properties, and users are cautioned against non-critical use of the default settings. An important limitation related to the predominant use of EwE as a black-box modelling tool is that some users fail to consider a range of alternative interaction representations. As with all multispecies approaches, the major limitation in applying the EwE approach lies in the quality and quantity of available data. Current EwE applications generally do not adequately address uncertainty in data inputs and model structure. Prudent EwE applications that utilize good data and are based upon rigorous statistical analyses can complement the quantitative predictions of traditional single-species models. They could be particularly useful in some contexts if output in the form of probability distributions encompassing a range of likely ecosystem responses were to be coupled with attempts to extend Operational Management Procedure (OMP) approaches to fisheries management beyond the single-species level. In particular, such applications could serve as the operating models of the underlying dynamics that are used for computer simulation testing of OMPs.</t>
  </si>
  <si>
    <t>eva@maths.uct.ac.za</t>
  </si>
  <si>
    <t>Plaganyi, Eva E/C-5130-2011</t>
  </si>
  <si>
    <t>Plaganyi, Eva E/0000-0002-4740-4200</t>
  </si>
  <si>
    <t>10.2989/18142320409504061</t>
  </si>
  <si>
    <t>WOS:000224636100017</t>
  </si>
  <si>
    <t>McMinn, A; Heijnis, H; Murray, A; Hallegraeff, G</t>
  </si>
  <si>
    <t>Diatom and dinoflagellate assemblages of the Hawkesbury River, NSW, over the last two centuries: evidence for changes in hydrology</t>
  </si>
  <si>
    <t>ALCHERINGA</t>
  </si>
  <si>
    <t>diatoms; dinoflagellates; hydrology; Hawkesbury River</t>
  </si>
  <si>
    <t>NEW-SOUTH-WALES; NUTRIENT ENRICHMENT; NITZSCHIA-PUNGENS; PSEUDO-NITZSCHIA; AUSTRALIA; SEDIMENT; CYSTS; RESPONSES; HISTORY; WATERS</t>
  </si>
  <si>
    <t>Diatom and dinoflagellate cyst analysis of a 77 cm long sediment core from Cowan Creek, Hawkesbury River estuary, N.S.W., revealed changes in the catchment hydrology over the last 266 years. High abundances of the freshwater/brackish diatom genus Cyclotella at the base of the core imply sustained periods of reduced salinity that now no longer occur. Reduction of freshwater flow after approximately circa 1800 (60 cm) has allowed the development of marine planktonic diatoms Thalassiosira spp., Ditylum brightwellii, Rhizosolenia setigera, Pseudo-nitzschia pungens and Chaetoceros spp. Benthic diatom diversity has remained relatively unchanged. The toxic dinoflagellate Gymnodinium catenatum, although identified in a cyst survey in April 1995, was not found in the sediment cores. Changes in dinoflagellate assemblage are consistent with the effects of increasing urbanisation and eutrophication.</t>
  </si>
  <si>
    <t>Univ Tasmania, Inst Antarctic &amp; So Ocean Studies, Hobart, Tas 7001, Australia; Australian Nucl Sci &amp; Technol Org, Environm Div, Menai, NSW 2234, Australia; Univ Tasmania, Sch Plant Sci, Hobart, Tas 7001, Australia</t>
  </si>
  <si>
    <t>University of Tasmania; Australian Nuclear Science &amp; Technology Organisation; University of Tasmania</t>
  </si>
  <si>
    <t>andrew.mcminn@utas.edu.au; hhx@ansto.gov.au; gustaff.hallegraeff@utas.edu.au</t>
  </si>
  <si>
    <t>Heijnis, Hendrik/A-6673-2010; McMinn, Andrew/A-9910-2008; Hallegraeff, Gustaaf/C-8351-2013</t>
  </si>
  <si>
    <t>Heijnis, Hendrik/0000-0002-7601-3452; Hallegraeff, Gustaaf/0000-0001-8464-7343</t>
  </si>
  <si>
    <t>0311-5518</t>
  </si>
  <si>
    <t>1752-0754</t>
  </si>
  <si>
    <t>Alcheringa</t>
  </si>
  <si>
    <t>10.1080/03115510408619299</t>
  </si>
  <si>
    <t>862KY</t>
  </si>
  <si>
    <t>WOS:000224490800014</t>
  </si>
  <si>
    <t>Smichowski, P; Farías, S; Valiente, L; Iribarren, ML; Vodopivez, C</t>
  </si>
  <si>
    <t>Total arsenic content of nine species of Antarctic macro algae as determined by electrothermal atomic absorption spectrometry</t>
  </si>
  <si>
    <t>arsenic; macro algae; Antarctica; microwave digestion; electrothermal atomic absorption spectrometry; retention capacity</t>
  </si>
  <si>
    <t>MASS-SPECTROMETRY; GRAPHITE-FURNACE; PRECONCENTRATION; BIOSORPTION; NICKEL; METALS; ZINC; LEAD</t>
  </si>
  <si>
    <t>Total arsenic in nine species Antarctic macro algae has been measured, by electrothermal atomic absorption spectrometry using a Pd/Mg(NO3)(2) matrix modifier, to determine their capacity to accumulate the element. Macro algae were collected in February during the 2000 austral summer season at Jubany Station (Argentinean scientific station) around Potter Cove, King George Island. An optimized two-step microwave (MW) program was used to digest the samples. Dried samples were treated with HNO3, H2O2, and HF, left overnight, then subjected to the first MW cycle. After cooling HNO3 and HClO4 were added and samples were subjected to the second MW cycle of digestion treatment. The effect of power and time on As recovery was examined. The analytical features of the method were: detection limit, 0.24 mug g(-1) (dry mass); precision (RSD), 4.2-5.7%; recovery 91-105%. A wide range of As-retention capacity (41.0-447 mug g(-1) dry mass) was observed among the different species. The highest levels of As were found in Phaeurus antarcticus (447 mug g(-1) dry mass). This organism satisfies several prerequisites to be considered for consideration as a biomonitor in future studies.</t>
  </si>
  <si>
    <t>Comis Nacl Energia Atom, Unidad Actividad Quim, Ctr Atom Constituyentes, San Martin, Buenos Aires, Argentina; Inst Nacl Tecnol Ind, CEQUIPE, Lab Anal Trazas, San Martin, Buenos Aires, Argentina; Inst Antartico Argentino, Buenos Aires, DF, Argentina</t>
  </si>
  <si>
    <t>Comision Nacional de Energia Atomica (CNEA); Instituto Nacional de Tecnologia Industrial (INTI); Instituto Antartico Argentino</t>
  </si>
  <si>
    <t>Smichowski, P (corresponding author), Comis Nacl Energia Atom, Unidad Actividad Quim, Ctr Atom Constituyentes, Av Gral Paz 1499,B1650KNA, San Martin, Buenos Aires, Argentina.</t>
  </si>
  <si>
    <t>smichows@cnea.gov.ar</t>
  </si>
  <si>
    <t>SPRINGER-VERLAG HEIDELBERG</t>
  </si>
  <si>
    <t>JAN</t>
  </si>
  <si>
    <t>10.1007/s00216-003-2275-5</t>
  </si>
  <si>
    <t>763QV</t>
  </si>
  <si>
    <t>WOS:000188112700032</t>
  </si>
  <si>
    <t>Tachibana, Y; Fletcher, GL; Fujitani, N; Tsuda, S; Monde, K; Nishimura, SI</t>
  </si>
  <si>
    <t>Antifreeze glycoproteins: Elucidation of the structural motifs that are essential for antifreeze activity</t>
  </si>
  <si>
    <t>ANGEWANDTE CHEMIE-INTERNATIONAL EDITION</t>
  </si>
  <si>
    <t>carbohydrates; computer chemistry; glycopeptides; glycoproteins</t>
  </si>
  <si>
    <t>SOLID-PHASE SYNTHESIS; POINT-DEPRESSING GLYCOPROTEINS; MOLECULAR-WEIGHT; POLAR FISH; ANTARCTIC FISH; CONFORMATION; PROTEINS; ICE; GLYCOPEPTIDE; INHIBITION</t>
  </si>
  <si>
    <t>Hokkaido Univ, Frontier Res Ctr Postgenom Sci &amp; Technol, Grad Sch Sci, Div Biol Sci, Sapporo, Hokkaido 0010021, Japan; Mem Univ Newfoundland, Ctr Ocean Sci, St Johns, NF A1C 5S7, Canada; Natl Inst Adv Ind Sci &amp; Technol, Struct Biol Grp, Sapporo, Hokkaido 0628517, Japan; Natl Inst Adv Ind Sci &amp; Technol, Res Ctr Glycosci, Glycochemosynth Team, Sapporo, Hokkaido 0628517, Japan</t>
  </si>
  <si>
    <t>Hokkaido University; Memorial University Newfoundland; National Institute of Advanced Industrial Science &amp; Technology (AIST); National Institute of Advanced Industrial Science &amp; Technology (AIST)</t>
  </si>
  <si>
    <t>Hokkaido Univ, Frontier Res Ctr Postgenom Sci &amp; Technol, Grad Sch Sci, Div Biol Sci, Sapporo, Hokkaido 0010021, Japan.</t>
  </si>
  <si>
    <t>shin@glyco.sci.hokudai.ac.jp</t>
  </si>
  <si>
    <t>Nishimura, Shinichiro/F-5277-2011; Fujitani, Naoki/A-4072-2012; Monde, Kenji/F-5286-2011; Tsuda, Sakae/M-2756-2018</t>
  </si>
  <si>
    <t>Monde, Kenji/0000-0002-1424-1054; Fujitani, Naoki/0000-0002-4035-7317; Tsuda, Sakae/0000-0002-1399-0619; Tachibana, Yuki/0000-0001-6845-4453</t>
  </si>
  <si>
    <t>1433-7851</t>
  </si>
  <si>
    <t>1521-3773</t>
  </si>
  <si>
    <t>ANGEW CHEM INT EDIT</t>
  </si>
  <si>
    <t>Angew. Chem.-Int. Edit.</t>
  </si>
  <si>
    <t>10.1002/anie.200353110</t>
  </si>
  <si>
    <t>Chemistry, Multidisciplinary</t>
  </si>
  <si>
    <t>776DM</t>
  </si>
  <si>
    <t>WOS:000189101500013</t>
  </si>
  <si>
    <t>Costa, DP; Kuhn, CE; Weise, MJ; Shaffer, SA; Arnould, JPY</t>
  </si>
  <si>
    <t>Morris, S; Vosloo, A</t>
  </si>
  <si>
    <t>When does physiology limit the foraging behaviour of freely diving mammals?</t>
  </si>
  <si>
    <t>ANIMALS AND ENVIRONMENTS</t>
  </si>
  <si>
    <t>INTERNATIONAL CONGRESS SERIES</t>
  </si>
  <si>
    <t>3rd International Conference of Comparative Physiology and Biochemistry</t>
  </si>
  <si>
    <t>AUG 07-13, 2004</t>
  </si>
  <si>
    <t>KwaZulu Natal, SOUTH AFRICA</t>
  </si>
  <si>
    <t>aerobic dive limit; diving; foraging; physiological constraint; pinnipeds</t>
  </si>
  <si>
    <t>ANTARCTIC FUR SEALS; AEROBIC DIVE LIMIT; WEDDELL SEALS; ENERGETICS; LION; BLOOD; CALIFORNIA; PINNIPEDS; ABUNDANCE; PATTERNS</t>
  </si>
  <si>
    <t>Diving animals offer a unique opportunity to study the importance of physiological constraint and the limitation it can impose on animal's behaviour in nature. This paper examines the interaction between physiology and behaviour and its impact on the diving capability of five eared seal species (Family Otariidae; three sea lions and two fur seals). An important physiological component of diving marine mammals is the aerobic dive limit (ADL). The ADL of these five seal species was estimated from measurements of their total body oxygen stores, coupled with estimates of their metabolic rate while diving. The tendency of each species to exceed its calculated ADL was compared relative to its diving behaviour. Overall, our analyses reveal that seals which forage benthically (i.e. on the sea floor) have a greater tendency to approach or exceed their ADL compared to seals that forage epipelagically (i.e. near the sea surface). Furthermore, the marked differences in foraging behaviour and physiology appear to be coupled with a species demography. For example, benthic foraging species have smaller populations and lower growth rates compared to seal species that forage epipelagically. These patterns are relevant to the conservation and management of diving vertebrates. (c) 2004 Published by Elsevier B.V.</t>
  </si>
  <si>
    <t>Univ Calif Santa Cruz, Dept Ecol &amp; Evolutionary Biol, Santa Cruz, CA 95060 USA</t>
  </si>
  <si>
    <t>University of California System; University of California Santa Cruz</t>
  </si>
  <si>
    <t>Univ Calif Santa Cruz, Dept Ecol &amp; Evolutionary Biol, 100 Shaffer Rd, Santa Cruz, CA 95060 USA.</t>
  </si>
  <si>
    <t>costa@biology.ucsc.edu</t>
  </si>
  <si>
    <t>Carlos, Universidade Federal de São/W-8832-2019; Costa, Daniel Paul/E-2616-2013; Shaffer, Scott/D-5015-2009</t>
  </si>
  <si>
    <t>Carlos, Universidade Federal de São/0000-0002-0334-3899; Costa, Daniel Paul/0000-0002-0233-5782; Kuhn, Carey/0000-0002-6835-9744; Shaffer, Scott/0000-0002-7751-5059</t>
  </si>
  <si>
    <t>SARA BURGERHARTSTRAAT 25, PO BOX 211, 1000 AE AMSTERDAM, NETHERLANDS</t>
  </si>
  <si>
    <t>0531-5131</t>
  </si>
  <si>
    <t>0-444-51763-4</t>
  </si>
  <si>
    <t>INT CONGR SER</t>
  </si>
  <si>
    <t>Int. Congr. Ser.</t>
  </si>
  <si>
    <t>10.1016/j.ics.2004.08.058</t>
  </si>
  <si>
    <t>Biochemistry &amp; Molecular Biology; Biophysics; Multidisciplinary Sciences; Physiology</t>
  </si>
  <si>
    <t>Biochemistry &amp; Molecular Biology; Biophysics; Science &amp; Technology - Other Topics; Physiology</t>
  </si>
  <si>
    <t>BBX71</t>
  </si>
  <si>
    <t>WOS:000228291600045</t>
  </si>
  <si>
    <t>Bjerke, JW; Elvebakk, A</t>
  </si>
  <si>
    <t>Comparison of morphological, anatomical and chemical characters in Pseudocyphellaria endochrysa and P. vaccina (Lobariaceae, lichenised Ascomycota)</t>
  </si>
  <si>
    <t>ANNALES BOTANICI FENNICI</t>
  </si>
  <si>
    <t>HPLC; lichens; Pseudocyphellaria; taxonomy</t>
  </si>
  <si>
    <t>CHROMATOGRAPHIC METHOD; SUBSTANCES; DEPSIDES; CHILE; IDENTIFICATION; CHEMISTRY</t>
  </si>
  <si>
    <t>A comparison of morphology, anatomy and chemistry of the two closely related lichens Pseudocyphellaria endochrysa and P. vaccina is presented. The presence of a scabrid-areolate upper surface in P. vaccina and a minutely pubescent, non-scabrid upper surface in P. endochrysa have been used as key characters for distinguishing the two species. However, the present study shows that in exposed habitats, such as in alpine habitats of southern South America and in low antarctic tundra on South Georgia. P. endochrysa also has a scabrid-areolate upper surface, almost without any hairs. In more protected sites, the upper surface of P. endochrysa is more pubescent and not scabrid. Previous reports of P. vaccina from the treeless zones in southernmost South America and the South Atlantic islands are referable to P. endochrysa. This conclusion is also supported by anatomical and chemical characters. Analyses by HPLC and TLC showed that pseudocyphellarins A and B, calycin, pulvinic dilactone and pulvinic acid are the principal lichen substances in P. endochrysa. In P. vaccina, pseudocyphellarin A is generally in minor amounts only, and pseudocyphellarin B was not detected. The three pulvinic acid derivatives are present in yellow-medullary thalli of R vaccina. Distribution maps are presented. While P. endochrysa is very rare north of 50degrees southern latitude, P. vaccina is common north to 37degreesS.</t>
  </si>
  <si>
    <t>Univ Tromso, Fac Sci, Dept Biol, N-9037 Tromso, Norway</t>
  </si>
  <si>
    <t>UiT The Arctic University of Tromso</t>
  </si>
  <si>
    <t>Univ Tromso, Fac Sci, Dept Biol, N-9037 Tromso, Norway.</t>
  </si>
  <si>
    <t>Bjerke, Jarle W./AFU-7502-2022</t>
  </si>
  <si>
    <t>Bjerke, Jarle W./0000-0003-2721-1492</t>
  </si>
  <si>
    <t>FINNISH ZOOLOGICAL BOTANICAL PUBLISHING BOARD</t>
  </si>
  <si>
    <t>UNIV HELSINKI</t>
  </si>
  <si>
    <t>P O BOX 26, FI-00014 UNIV HELSINKI, FINLAND</t>
  </si>
  <si>
    <t>0003-3847</t>
  </si>
  <si>
    <t>1797-2442</t>
  </si>
  <si>
    <t>ANN BOT FENN</t>
  </si>
  <si>
    <t>Ann. Bot. Fenn.</t>
  </si>
  <si>
    <t>804WL</t>
  </si>
  <si>
    <t>WOS:000220328700003</t>
  </si>
  <si>
    <t>Chisham, G; Freeman, MP</t>
  </si>
  <si>
    <t>An investigation of latitudinal transitions in the SuperDARN Doppler spectral width parameter at different magnetic local times</t>
  </si>
  <si>
    <t>ANNALES GEOPHYSICAE</t>
  </si>
  <si>
    <t>ionosphere; ionosphere-magnetosphere interactions; instruments and techniques; magnetospheric physics; magnetopause, cusp, and boundary layers</t>
  </si>
  <si>
    <t>POLAR-CAP BOUNDARY; ANGSTROM AURORAL EMISSION; HF-RADAR OBSERVATIONS; F-REGION; PARTICLE-PRECIPITATION; DAYSIDE RECONNECTION; IONOSPHERIC CUSP; ELECTRIC-FIELD; LAYER CAMPAIGN; NIGHTSIDE</t>
  </si>
  <si>
    <t>Latitudinal transitions from low to high Doppler spectral width in backscatter measured by the Super Dual Auroral Radar Network (SuperDARN) are now routinely used as proxies for the polar cap boundary (PCB) in the cusp-region ionosphere. In this paper we perform a statistical study of the nature of similar spectral width transitions at other magnetic local times (MLTs). This analysis illustrates that these latitudinal spectral width transitions exist at all magnetic local times, and that the latitude, gradient, and amplitude of the transitions vary systematically with MLT. In particular, the probability of a transition occurring at any latitude, identified independently in each MLT sector, is continuous with MLT from the cusp, through the morning sector, to the nightside. This suggests that the transition represents the PCB. as this is known to be what it represents in the cusp region. However, the picture in the afternoon sector ( 12:0018:00 MLT) is more complex with no clearly preferred transition latitudes.</t>
  </si>
  <si>
    <t>g.chisham@bas.ac.uk</t>
  </si>
  <si>
    <t>Freeman, Mervyn/E-5687-2019</t>
  </si>
  <si>
    <t>COPERNICUS GESELLSCHAFT MBH</t>
  </si>
  <si>
    <t>GOTTINGEN</t>
  </si>
  <si>
    <t>BAHNHOFSALLEE 1E, GOTTINGEN, 37081, GERMANY</t>
  </si>
  <si>
    <t>0992-7689</t>
  </si>
  <si>
    <t>1432-0576</t>
  </si>
  <si>
    <t>ANN GEOPHYS-GERMANY</t>
  </si>
  <si>
    <t>Ann. Geophys.</t>
  </si>
  <si>
    <t>10.5194/angeo-22-1187-2004</t>
  </si>
  <si>
    <t>Astronomy &amp; Astrophysics; Geosciences, Multidisciplinary; Meteorology &amp; Atmospheric Sciences</t>
  </si>
  <si>
    <t>Astronomy &amp; Astrophysics; Geology; Meteorology &amp; Atmospheric Sciences</t>
  </si>
  <si>
    <t>817TI</t>
  </si>
  <si>
    <t>Green Submitted, gold</t>
  </si>
  <si>
    <t>WOS:000221199400011</t>
  </si>
  <si>
    <t>Villante, U; Vellante, M; Piancatelli, A; Di Cienzo, A; Zhang, TL; Magnes, W; Wesztergom, V; Meloni, A</t>
  </si>
  <si>
    <t>Some aspects of man-made contamination on ULF measurements</t>
  </si>
  <si>
    <t>magnetospheric physics, instruments and techniques; solar wind-magnetosphere interaction; geomagnetism and paleomagnetism time variations, diurnal to secular</t>
  </si>
  <si>
    <t>MAGNETIC-FIELD MEASUREMENTS; NOVA BAY ANTARCTICA; LOW-LATITUDE; PULSATIONS; EARTHQUAKE; FREQUENCIES; FLUCTUATIONS; PI2</t>
  </si>
  <si>
    <t>An analysis of the man made contamination on ULF measurements in highly populated areas has been conducted at several suitably chosen sites in Western Europe. The experimental results show common characteristics at different stations with clear evidence for an additional working day contamination with respect to weekends. These effects more clearly emerge in the vertical component that is less influenced by natural signals. A similar analysis conducted at Terra Nova Bay does not reveal any clear evidence for man made disturbances on Antarctic measurements.</t>
  </si>
  <si>
    <t>Univ Aquila, Dipartimento Fis, I-67100 Laquila, Italy; Consorzio Area Ric Astrogeofis, Laquila, Italy; Inst Weltraumforsch, Graz, Austria; Hungarian Acad Sci, Geodet &amp; Geophys Res Inst, Sopron, Hungary; Ist Nazl Geofis &amp; Vulcanol, Rome, Italy</t>
  </si>
  <si>
    <t>University of L'Aquila; Hungarian Academy of Sciences; Hungarian Research Network; HUN-REN Research Centre for Astronomy &amp; Earth Sciences; Istituto Nazionale Geofisica e Vulcanologia (INGV)</t>
  </si>
  <si>
    <t>Univ Aquila, Dipartimento Fis, I-67100 Laquila, Italy.</t>
  </si>
  <si>
    <t>umberto.villante@aquila.infn.it</t>
  </si>
  <si>
    <t>Villante, Umberto/0000-0002-3630-7958; VELLANTE, Massimo/0000-0003-4628-366X</t>
  </si>
  <si>
    <t>10.5194/angeo-22-1335-2004</t>
  </si>
  <si>
    <t>gold, Green Submitted</t>
  </si>
  <si>
    <t>WOS:000221199400020</t>
  </si>
  <si>
    <t>Sitnov, SA</t>
  </si>
  <si>
    <t>QBO effects manifesting in ozone, temperature, and wind profiles</t>
  </si>
  <si>
    <t>meteorology and atmospheric dynamics climatology; general circulation; middle atmosphere dynamics</t>
  </si>
  <si>
    <t>QUASI-BIENNIAL OSCILLATION; EQUATORIAL STRATOSPHERE; DIMENSIONAL MODEL; GLOBAL QBO; CIRCULATION; LATITUDES</t>
  </si>
  <si>
    <t>On the basis of ozonesonde records up to 1998 the responses on the equatorial quasi-biennial oscillation (QBO), manifesting, in ozone, temperature, and wind (QBO effects) were isolated in the region from the ground to altitudes as high as 35 km at 22 stations located in Europe (7), North America (7), Japan (4), Hawaii (1), Australia (2), and Antarctic (1). The vertical structures of the QBO effects of ozone are represented as an alternation of layers of well-developed quasi-biennial signals, whose phases gradually change with height and thin transitional layers of ill-developed signals, whose phases change abruptly with height. The amplitudes of the effects depend on height and reach the maxima of 3-6 nbar in the lower stratosphere. At the majority of sites the effects are found to be approximately in phase between 20 and 23 km. Two types of the vertical structures of the temperature QBO effects are found. At most of the sites located equatorward of about 50degrees the stratospheric temperature anomalies are characterized by downward propagation, whereas at sites situated poleward of about 50degrees they look as column-like structures. Near the tropopause the effects frequently reveal dipole-like structure, when the stratospheric and tropospheric anomalies are of opposite signs. The amplitudes of the effects are in the range of 0.5-1 degreesC. The vertical structures of the QBO effects of horizontal wind components reveal a diversity of patterns. The amplitudes of the QBO effects of the meridional and zonal winds are comparable and lie in the range of 0.5-2 m-s(-1). As a rule, the maxima of the effects are noticed slightly below the tropopause, as well as in the middle stratosphere. In general, a statistical assurance of the obtained QBO effects is rather poor. However, a considerable part of them reveal similarity, which can be hardly explained by chance. Furthermore, the results agree with possible physical mechanisms of off-equatorial influence of the QBO, as well as with results of other observational studies. Differences between the QBO effects obtained at different sites can be induced by peculiarities of corresponding ozonesonde records, differing by periods, gaps, number of sondes, errors of measurements, etc. Also, the differences can be associated with an inconstancy of characteristics of the equatorial QBO itself, as well as with an interdependency of the QBO and the annual cycle. Finally, the differences can reflect real regional characteristics of the QBO effects associated with local peculiarities of the large-scale circulation.</t>
  </si>
  <si>
    <t>AM Obukhov Inst Atmospher Phys, Moscow 119017, Russia</t>
  </si>
  <si>
    <t>Russian Academy of Sciences; Obukhov Institute of Atmospheric Physics of Russian Academy of Sciences</t>
  </si>
  <si>
    <t>Sitnov, SA (corresponding author), AM Obukhov Inst Atmospher Phys, Pyzhevsky 3, Moscow 119017, Russia.</t>
  </si>
  <si>
    <t>sitnov@ifaran.ru</t>
  </si>
  <si>
    <t>Sitnov, Sergei A/D-1581-2014</t>
  </si>
  <si>
    <t>EUROPEAN GEOPHYSICAL SOC</t>
  </si>
  <si>
    <t>KATLENBURG-LINDAU</t>
  </si>
  <si>
    <t>MAX-PLANCK-STR 13, 37191 KATLENBURG-LINDAU, GERMANY</t>
  </si>
  <si>
    <t>10.5194/angeo-22-1495-2004</t>
  </si>
  <si>
    <t>816MM</t>
  </si>
  <si>
    <t>WOS:000221114000008</t>
  </si>
  <si>
    <t>Phillips, F; Burns, GB; French, WJR; Williams, PFB; Klekociuk, AR; Lowe, RP</t>
  </si>
  <si>
    <t>Determining rotational temperatures from the OH(8-3) band, and a comparison with OH(6-2) rotational temperatures at Davis, Antarctica</t>
  </si>
  <si>
    <t>atmospheric composition and structure; airglow and aurora; pressure, density, and temperature</t>
  </si>
  <si>
    <t>MOLECULAR SPECTROSCOPIC DATABASE; RESOLUTION SPECTRAL ATLAS; TRANSITION-PROBABILITIES; LOWER THERMOSPHERE; EMISSION-LINES; OH; NIGHTGLOW; TRENDS; MESOSPHERE; COEFFICIENTS</t>
  </si>
  <si>
    <t>Rotational temperatures derived from the OH(8-3) band may vary by similar to 18 K depending on the choice of transition probabilities. This is of concern when absolute temperatures or trends determined in combination with measurements of other hydroxyl bands are important. In this paper, measurements of the OH(8-3) temperature-insensitive Q/P and R/P line intensity ratios are used to select the most appropriate transition probabilities for use with this band. Aurora, airglow and solar and telluric absorption in the OH(8-3) band are also investigated. Water vapour absorption of P, (4), airglow or aurora] contamination of P, (2) and solar absorption in the vicinity of PI (5) are concerns to be considered when deriving rotational temperatures from this band. A comparison is made of temperatures derived from OH(6-2) and OH(8-3) spectra collected alternately at Davis (69degrees S, 78degrees E) in 1990. An average difference of similar to4 K is found, with OH(8-3) temperatures being warmer, but a difference of this magnitude is within the two sigma uncertainty limit of the measurements.</t>
  </si>
  <si>
    <t>Australian Antarctic Div, Kingston, Tas 7050, Australia; Univ Western Ontario, Dept Phys &amp; Astron, London, ON N6A 3K7, Canada</t>
  </si>
  <si>
    <t>Australian Antarctic Division; Western University (University of Western Ontario)</t>
  </si>
  <si>
    <t>Australian Antarctic Div, Channel Highway, Kingston, Tas 7050, Australia.</t>
  </si>
  <si>
    <t>gary.burns@aad.gov.au</t>
  </si>
  <si>
    <t>Klekociuk, Andrew/A-4498-2015</t>
  </si>
  <si>
    <t>Klekociuk, Andrew/0000-0003-3335-0034; French, John/0000-0001-9305-6190</t>
  </si>
  <si>
    <t>10.5194/angeo-22-1549-2004</t>
  </si>
  <si>
    <t>WOS:000221114000011</t>
  </si>
  <si>
    <t>Nunn, D; Clilverd, MA; Rodger, CJ; Thomson, NR</t>
  </si>
  <si>
    <t>The impact of PMSE and NLC particles on VLF propagation</t>
  </si>
  <si>
    <t>electromagnetism; wave propagation; ionosphere; polar ionosphere; radioscience; ionospheric propagation</t>
  </si>
  <si>
    <t>MESOSPHERE SUMMER ECHOES; IONOSPHERE WAVE-GUIDE; NOCTILUCENT CLOUDS; RADAR ECHOES; RED SPRITES; PERTURBATIONS; AMPLITUDE; REGION; EISCAT; SCATTERING</t>
  </si>
  <si>
    <t>PMSE or Polar Mesosphere Summer Echoes are a well-known phenomenon in the summer northern polar regions, in which anomalous VHF/UHF radar echoes are returned from heights similar to85 km. Noctilucent clouds and electron density biteouts are two phenomena that sometimes occur together with PMSE. Electron density biteouts are electron density depletion layers of up to 90%, which may be several kms thick. Using the NOSC Modefndr code based on Wait's modal theory for subionospheric propagation, we calculate the shifts in received VLF amplitude and phase that occur as a result of electron density biteouts. The code assumes a homogeneous background ionosphere and a homo-geneous biteout layer along the Great Circle Path (GCP) corridor, for transmitter receiver path lengths in the range of 500-6000 km. For profiles during the 10 h about midnight and under quiet 0 Geornagnetic conditions, where the electron density at 85 km would normally be less than 500el/cc, it was found that received signal perturbations were significant, of the order of 1-4 dB and 5-40degrees of phase. Perturbation amplitudes increase roughly as the square root of frequency. At short range perturbations are rather erratic, but more consistent at large ranges, readily interpretable in terms of the shifts in excitation factor, attenuation factor and v/c ratios for Wait's modes. Under these conditions such shifts should be detectable by a well constituted experiment involving multiple paths and multiple frequencies in the north polar region in summer. It is anticipated that VLF propagation could be a valuable diagnostic for biteout/PMSE when electron density at 85 km is under 500 el/cc, under which circumstances PMSE are not directly detectable by VHF/UHF radars.</t>
  </si>
  <si>
    <t>Univ Southampton, Dept Elect &amp; Comp Sci, Southampton SO17 1BJ, Hants, England; British Antarctic Survey, Cambridge CB3 0ET, England; Univ Otago, Dept Phys, Dunedin, New Zealand</t>
  </si>
  <si>
    <t>University of Southampton; UK Research &amp; Innovation (UKRI); Natural Environment Research Council (NERC); NERC British Antarctic Survey; University of Otago</t>
  </si>
  <si>
    <t>Univ Southampton, Dept Elect &amp; Comp Sci, Southampton SO17 1BJ, Hants, England.</t>
  </si>
  <si>
    <t>dn@ecs.soton.ac.uk</t>
  </si>
  <si>
    <t>Rodger, Craig/A-1501-2011</t>
  </si>
  <si>
    <t>Rodger, Craig J./0000-0002-6770-2707</t>
  </si>
  <si>
    <t>10.5194/angeo-22-1563-2004</t>
  </si>
  <si>
    <t>gold, Green Submitted, Green Accepted</t>
  </si>
  <si>
    <t>WOS:000221114000012</t>
  </si>
  <si>
    <t>McWilliams, KA; Sofko, GJ; Yeoman, TK; Milan, SE; Sibeck, DG; Nagai, T; Mukai, T; Coleman, IJ; Hori, T; Rich, FJ</t>
  </si>
  <si>
    <t>Simultaneous observations of magnetopause flux transfer events and of their associated signatures at ionospheric altitudes</t>
  </si>
  <si>
    <t>magnetospheric physics; (energetic particles, precipitating; magnetosphere-ionosphere interactions); space plasma physics; (magnetic reconnection)</t>
  </si>
  <si>
    <t>INTERPLANETARY MAGNETIC-FIELD; HIGH-LATITUDE CONVECTION; HF RADAR OBSERVATIONS; BOUNDARY-LAYER; DAYSIDE MAGNETOPAUSE; COORDINATED CLUSTER; ISEE OBSERVATIONS; AURORAL-ZONE; RECONNECTION; CUTLASS</t>
  </si>
  <si>
    <t>An extensive variety of instruments, including Geotail, DMSP F11, SuperDARN, and IMP-8, were monitoring the dayside magnetosphere and ionosphere between 14:00 and 18:00 UT on 18 January 1999. The location of the instruments provided an excellent opportunity to study in detail the direct coupling between the solar wind, the magnetosphere, and the ionosphere. Flux transfer events were observed by Geotail near the magnetopause in the dawn side magnetosheath at about 4 magnetic local time during exclusively northward interplanetary magnetic field conditions. Excellent coverage of the entire dayside high-latitude ionosphere was achieved by the Northern Hemisphere SuperDARN radars. On the large scale, temporally and spatially, the dayside magnetosphere convection remained directly driven by the interplanetary magnetic field, despite the highly variable interplanetary magnetic field conditions, including long periods of northward field. The SuperDARN radars in the dawn sector also measured small-scale temporally varying convection velocities, which are indicative of flux transfer event activity, in the vicinity of the magnetic footprint of Geotail. DMSP F11 in the Southern Hemisphere measured typical cusp precipitation simultaneously with and magnetically conjugate to a single flux transfer event signature detected by Geotail. A study of the characteristics of the DMSP ion spectrogram revealed that the source plasma from the reconnection site originated downstream of the subsolar point. Detailed analyses of locally optimised coordinate Systems for individual flux transfer events at Geotail are consistent with a series of flux tubes protruding from the magnetopause, and originating from a high-latitude reconnection site in the Southern Hemisphere. This high-latitude reconnection site agrees with plasma injected away from the subsolar point. This is the first simultaneous and independent determination from ionospheric and space-based data of the location of magnetic reconnection.</t>
  </si>
  <si>
    <t>Univ Saskatchewan, Inst Space &amp; Atmospher Studies, Saskatoon, SK, Canada; Univ Leicester, Dept Phys &amp; Astron, Leicester LE1 7RH, Leics, England; NASA, Goddard Space Flight Ctr, Greenbelt, MD 20771 USA; Tokyo Inst Technol, Dept Earth &amp; Planetary Sci, Tokyo 152, Japan; Inst Space &amp; Astronaut Sci, Kanagawa, Japan; British Antarctic Survey, Cambridge CB3 0ET, England; Johns Hopkins Univ, Appl Phys Lab, Laurel, MD USA; AFRL, VSBXP, Hanscom AFB, MA USA</t>
  </si>
  <si>
    <t>University of Saskatchewan; University of Leicester; National Aeronautics &amp; Space Administration (NASA); NASA Goddard Space Flight Center; Tokyo Institute of Technology; Japan Aerospace Exploration Agency (JAXA); Institute of Space &amp; Astronautical Science (ISAS); UK Research &amp; Innovation (UKRI); Natural Environment Research Council (NERC); NERC British Antarctic Survey; Johns Hopkins University; Johns Hopkins University Applied Physics Laboratory</t>
  </si>
  <si>
    <t>McWilliams, KA (corresponding author), Univ Saskatchewan, Inst Space &amp; Atmospher Studies, Saskatoon, SK, Canada.</t>
  </si>
  <si>
    <t>mcwilliams@dansas.usask.ca</t>
  </si>
  <si>
    <t>Yeoman, Timothy k/L-9105-2014; Mukai, Toshifumi/ABD-3297-2021; Sibeck, David G/D-4424-2012</t>
  </si>
  <si>
    <t>Yeoman, Timothy k/0000-0002-8434-4825; Milan, Steve/0000-0001-5050-9604; Hori, Tomoaki/0000-0001-8451-6941</t>
  </si>
  <si>
    <t>EUROPEAN GEOSCIENCES UNION</t>
  </si>
  <si>
    <t>10.5194/angeo-22-2181-2004</t>
  </si>
  <si>
    <t>840DH</t>
  </si>
  <si>
    <t>Green Published, gold, Green Submitted</t>
  </si>
  <si>
    <t>WOS:000222836700028</t>
  </si>
  <si>
    <t>Grassi, B; Redaelli, G; Visconti, G</t>
  </si>
  <si>
    <t>Assimilation of stratospheric ozone in the chemical transport model STRATAQ</t>
  </si>
  <si>
    <t>atmospheric composition and structure; middle atmosphere-composition and chemistry; instruments and techniques</t>
  </si>
  <si>
    <t>KALMAN FILTER; SIMULATIONS</t>
  </si>
  <si>
    <t>We describe a sequential assimilation approach useful for assimilating tracer measurements into a three dimensional chemical transport model (CTM) of the stratosphere. The numerical code, developed largely according to Khattatov et al. (2000), uses parameterizations and simplifications allowing assimilation of sparse observations and the simultaneous evaluation of analysis errors, with reasonable computational requirements. Assimilation parameters are set by using chi(2) and OmF (Observation minus Forecast) statistics. The CTM used here is a high resolution three dimensional model. It includes a detailed chemical package and is driven by UKMO (United Kingdom Meteorological Office) analyses. We illustrate the method using assimilation of Upper Atmosphere Research Satellite/Microwave Limb Sounder (UARS/MLS) ozone observations for three weeks during the 1996 antarctic spring. The comparison of results from the simulations with TOMS (Total Ozone Mapping Spectrometer) measurements shows improved total ozone fields due to assimilation of MLS observations. Moreover, the assimilation gives indications on a possible model weakness in reproducing polar ozone values during springtime.</t>
  </si>
  <si>
    <t>Univ Siena, Dipartimento Sci Terra, I-53100 Siena, Italy; Univ Aquila, Dipartimento Fis, I-67010 Coppito, Italy</t>
  </si>
  <si>
    <t>University of Siena; University of L'Aquila</t>
  </si>
  <si>
    <t>Univ Siena, Dipartimento Sci Terra, Via Laterina 8, I-53100 Siena, Italy.</t>
  </si>
  <si>
    <t>barbara.grassi@aquila.infn.it</t>
  </si>
  <si>
    <t>Redaelli, Gianluca/GZX-3219-2022</t>
  </si>
  <si>
    <t>Redaelli, Gianluca/0000-0002-4449-1513</t>
  </si>
  <si>
    <t>10.5194/angeo-22-2669-2004</t>
  </si>
  <si>
    <t>862IJ</t>
  </si>
  <si>
    <t>WOS:000224483900003</t>
  </si>
  <si>
    <t>Jones, GOL; Clilverd, MA; Espy, PJ; Chew, S; Fritts, DC; Riggin, DM</t>
  </si>
  <si>
    <t>An alternative explanation of PMSE-like scatter in MF radar data</t>
  </si>
  <si>
    <t>meteorology and atmospheric dynamics; middle atmosphere dynamics; turbulence; instruments and techniques</t>
  </si>
  <si>
    <t>MESOSPHERE SUMMER ECHOES; GRAVITY-WAVE BREAKING; POLAR MESOSPHERE; TURBULENCE; DYNAMICS</t>
  </si>
  <si>
    <t>There have been reports in the literature that spaced-antenna MF radars may provide a source of data on Polar Mesospheric Summer Echoes (PMSE). Even though the expected scatter from PMSE at MF frequencies is very much weaker than at VHF, the wide distribution of sites and long duration of data sets for MF radar systems could provide valuable information about the occurrence of PMSE. This paper tests whether there is any evidence of PMSE in the profiles derived using the MF radar at Rothera, Antarctica, one of the few such radars at high southern latitudes. Over a year of data during 1997/1998 has been analysed for the occurrence of persistent features around midday in the altitude range 60-95 km. Criteria were chosen to test the likelihood that some of the narrow peaks in the power profiles were manifestations of electron density structures associated with PMSE. Although a small number of persistent features were seen at altitudes of 80-85 km that are typically associated with PMSE, there was no seasonality in their occurrence. A detailed analysis of specific days showed that two peaks were often seen with altitude separations consistent with the vertical wavelength of the diurnal tide. Persistent features were also detected at altitudes of 70 km and 90 km during the winter months, thus showing a quite different seasonality to that of PMSE. An estimate of the turbulence caused by the breaking of gravity waves that have propagated up from the lower atmosphere shows that at Rothera significant energy is deposited near 80 km during summer, and near 70 and 90 km during winter. This seasonal variability is driven by the screening effect of stratospheric winds, and it appears that breaking gravity wave dynamics, rather than PMSE phenomena, can explain many of the localised altitude features in the MF radar data.</t>
  </si>
  <si>
    <t>British Antarctic Survey, NERC, Cambridge CB3 0ET, England; NW Res Associates Inc, Colorado Res Assoc, Boulder, CO 80301 USA</t>
  </si>
  <si>
    <t>UK Research &amp; Innovation (UKRI); Natural Environment Research Council (NERC); NERC British Antarctic Survey; NorthWest Research Associates</t>
  </si>
  <si>
    <t>m.clilverd@bas.ac.uk</t>
  </si>
  <si>
    <t>10.5194/angeo-22-2715-2004</t>
  </si>
  <si>
    <t>WOS:000224483900006</t>
  </si>
  <si>
    <t>Monselesan, DP; Morris, RJ; Dyson, PL; Hyde, MR</t>
  </si>
  <si>
    <t>Southern high-latitude Digisonde observations of ionosphere E-region Bragg scatter during intense lacuna conditions</t>
  </si>
  <si>
    <t>ionosphere; polar ionosphere; ionospheric irregularities; plasma waves and instabilities</t>
  </si>
  <si>
    <t>UNSTABLE PLASMA-WAVES; AURORAL E-REGION; POLAR E-REGION; SPORADIC E; FIELD; IRREGULARITIES; RADAR; VELOCITY; ECHOES; REFLECTIONS</t>
  </si>
  <si>
    <t>During summer months at solar cycle minimum, F-region lacuna and slant-Es conditions (SEC) are common features of daytime ionograms recorded around local magnetic noon at Casey, Antarctica. Digisonde measurements of drift velocity height profiles show that the occurrence of lacuna prevents the determination of F-region drift velocities and also affects E-region drift velocity measurements. Unique E-region spectral features revealed as intervals of Bragg scatter superimposed on typical background E-region reflection were observed in Digisonde Doppler spectra during intense lacuna conditions. Daytime E-region Doppler spectra recorded at carrier frequencies from 1.5 to 2.7 MHz, below the E-region critical frequency f(o)E, have two side-peaks corresponding to Bragg scatter at approximately +/-1-2Hz symmetrically located on each side of a central-peak corresponding to near-zenith total reflections. Angle-of-arrival information and ray-tracing simulations show that echo returns are coming from oblique directions most likely resulting from direct backscatter from just below the total reflection height for each sounding frequency. The Bragg backscatter events are shown to manifest during polar lacuna conditions, and to affect the determination of E-region background drift velocities, and as such must be considered when using standard Doppler-sorted interferometry (DSI) techniques to estimate ionospheric drift velocities. Given the Doppler and spatial separation of the echoes determined from high-resolution Doppler measurements, we are able to estimate the Bragg scatter phase velocity independently from the bulk E-region motion. The phase velocity coincides with the E x B direction derived from in situ fluxgate magnetometer records. When ionospheric refraction is considered, the phase velocity amplitudes deduced from DSI are comparable to the ion-acoustic speed expected in the E-region. We briefly consider the plausibility that these previously unreported polar cap E-region Bragg scatter Doppler spectral signatures, observed at Casey in December 1996 during SEC/lacuna conditions may be linked to ionosphere irregularities. These irregularities may possibly be generated by primary plasma waves triggered by current-driven instabilities, that is to say, a hybrid of the modified two-stream and gradient drift instability mechanisms.</t>
  </si>
  <si>
    <t>Australian Antarctic Div, Kingston, Tas, Australia; IPS Radio &amp; Space Serv, Haymarket, NSW, Australia; La Trobe Univ, Dept Phys, Bundoora, Vic 3083, Australia</t>
  </si>
  <si>
    <t>Australian Antarctic Division; La Trobe University</t>
  </si>
  <si>
    <t>Morris, RJ (corresponding author), Australian Antarctic Div, Channel Highway, Kingston, Tas, Australia.</t>
  </si>
  <si>
    <t>ray.morris@aad.gov.au</t>
  </si>
  <si>
    <t>Monselesan, Didier/A-2327-2012</t>
  </si>
  <si>
    <t>Monselesan, Didier/0000-0002-0310-8995</t>
  </si>
  <si>
    <t>10.5194/angeo-22-2819-2004</t>
  </si>
  <si>
    <t>WOS:000224483900016</t>
  </si>
  <si>
    <t>Rodger, CJ; Nunn, D; Clilverd, MA</t>
  </si>
  <si>
    <t>Investigating radiation belt losses though numerical modelling of precipitating fluxes</t>
  </si>
  <si>
    <t>ionosphere; ionization mechanisms; magnetospheric physics; energetic particles, precipitating; magnetospheric-ionosphere interactions</t>
  </si>
  <si>
    <t>INDUCED ELECTRON-PRECIPITATION; VLF PERTURBATIONS; LOWER IONOSPHERE; IONIZATION; PLASMASPHERE; SATELLITE; WHISTLERS; AMPLITUDE; MAGNETOSPHERE; PROPAGATION</t>
  </si>
  <si>
    <t>It has been suggested that whistler-induced electron precipitation (WEP) may be the most significant inner radiation belt loss process for some electron energy ranges. One area of uncertainty lies in identifying a typical estimate of the precipitating fluxes from the examples given in the literature to date. Here we aim to solve this difficulty through modelling satellite and ground-based observations of onset and decay of the precipitation and its effects in the ionosphere by examining WEP-produced Trimpi perturbations in subionospheric VLF transmissions. In this study we find that typical Trimpi are well described by the effects of WEP spectra derived from the AE-5 inner radiation belt model for typical precipitating energy fluxes. This confirms the validity of the radiation belt lifetimes determined in previous studies using these flux parameters. We find that the large variation in observed Trimpi perturbation size occurring over time scales of minutes to hours is primarily due to differing precipitation flux levels rather than changing WEP spectra. Finally, we show that high-time resolution measurements during the onset of Trimpi perturbations should provide a useful signature for discriminating WEP Trimpi from non-WEP Trimpi, due to the pulsed nature of the WEP arrival.</t>
  </si>
  <si>
    <t>Univ Otago, Dept Phys, Dunedin, New Zealand; Univ Southampton, Sch Elect &amp; Comp Sci, Southampton SO9 5NH, Hants, England; British Antarctic Survey, Div Phys Sci, Cambridge CB3 0ET, England</t>
  </si>
  <si>
    <t>University of Otago; University of Southampton; UK Research &amp; Innovation (UKRI); Natural Environment Research Council (NERC); NERC British Antarctic Survey</t>
  </si>
  <si>
    <t>Univ Otago, Dept Phys, Dunedin, New Zealand.</t>
  </si>
  <si>
    <t>crodger@physics.otago.ac.nz</t>
  </si>
  <si>
    <t>10.5194/angeo-22-3657-2004</t>
  </si>
  <si>
    <t>878JM</t>
  </si>
  <si>
    <t>Green Submitted, gold, Green Accepted</t>
  </si>
  <si>
    <t>WOS:000225643100026</t>
  </si>
  <si>
    <t>Peet, E; Rudakov, V; Yushkov, V; Redaelli, G; MacKenzie, AR</t>
  </si>
  <si>
    <t>Ozone and water vapour in the austral polar stratospheric vortex and sub-vortex</t>
  </si>
  <si>
    <t>meteorology and atmospheric dynamics; polar meteorology; atmospheric composition and structure; middle atmosphere-composition and chemistry</t>
  </si>
  <si>
    <t>ANTARCTIC OZONE; TRANSPORT; HOLE; DEPLETION; DYNAMICS; STATION; TRENDS</t>
  </si>
  <si>
    <t>In-situ measurements of ozone and water vapour, in the Antarctic lower stratosphere, were made as part of the APE-GAIA mission in September and October 1999. The measurements show a distinct difference above and below the 415 K isentrope. Above 415 K, the chemically perturbed region of low ozone and water vapour is clearly evident. Below 415 K, but still above the tropopause, no sharp meridional gradients in ozone and water vapour were observed. The observations are consistent with analyses of potential vorticity from the European Centre for Medium Range Weather Forecasting, which show smaller radial gradients at 380 K than at 450 K potential temperature. Ozone loss in the chemically perturbed region above 415 K averages 5 ppbv per day for mid-September to mid-October. Apparent ozone loss rates in the sub-vortex region are greater, at 7 ppbv per day. The data support, therefore, the existence of a sub-vortex region in which meridional transport is more efficient than in the vortex above. The low ozone mixing ratios in the sub-vortex region may be due to in-situ chemical destruction of ozone or transport of ozone-poor air out of the bottom of the vortex. The aircraft data we use cannot distinguish between these two processes.</t>
  </si>
  <si>
    <t>Univ Lancaster, Dept Environm Sci, Lancaster LA1 4BA, England; Univ Aquila, Dept Phys, I-67100 Laquila, Italy</t>
  </si>
  <si>
    <t>Lancaster University; University of L'Aquila</t>
  </si>
  <si>
    <t>Univ Lancaster, Dept Environm Sci, Lancaster LA1 4BA, England.</t>
  </si>
  <si>
    <t>r.Mackenzie@lancaster.ac.uk</t>
  </si>
  <si>
    <t>Redaelli, Gianluca/GZX-3219-2022; MacKenzie, Angus Robert/ISS-0362-2023; MacKenzie, Angus Robert/B-1704-2009</t>
  </si>
  <si>
    <t>MacKenzie, Angus Robert/0000-0002-8227-742X; Redaelli, Gianluca/0000-0002-4449-1513</t>
  </si>
  <si>
    <t>10.5194/angeo-22-4035-2004</t>
  </si>
  <si>
    <t>894ZV</t>
  </si>
  <si>
    <t>WOS:000226831100002</t>
  </si>
  <si>
    <t>Ogawa, T; Nozawa, S; Tsutsumi, M; Arnold, NF; Nishitani, N; Sato, N; Yukimatu, AS</t>
  </si>
  <si>
    <t>Arctic and Antarctic polar mesosphere summer echoes observed with oblique incidence HF radars: analysis using simultaneous MF and VHF radar data</t>
  </si>
  <si>
    <t>meteorology and atmospheric dynamics; middle atmosphere dynamics; thermospheric dynamics; waves and tides</t>
  </si>
  <si>
    <t>MESOPAUSE ECHOES; EISCAT; TIDES; PMSE; DYNASONDE; DYNAMICS; CAMPAIGN; MIDDLE</t>
  </si>
  <si>
    <t>Polar mesosphere summer echoes (PMSEs) have been well studied using vertical incidence VHF radars at northern high-latitudes. In this paper, two PMSE events detected with the oblique incidence SuperDARN HF radars at Hankasalmi, Finland (62.3degrees N) and Syowa Station, Antarctica (69.0degrees S), are analyzed, together with simultaneous VHF and medium-frequency (MF) radar data. Altitude resolutions of the HF radars in the mesosphere and the lower thermosphere are too poor to know exact PMSE altitudes. However, a comparison of Doppler velocity from the HF radar and neutral wind velocity from the MF radar shows that PMSEs at the HF band appeared at altitudes within 80-90 km, which are consistent with those from previous vertical incidence HF-VHF radar results. The HF-VHF PMSE occurrences exhibit a semidiurnal behavior, as observed by other researchers. It is found that in one event, PMSEs occurred when westward semidiurnal winds with large amplitude at 85-88 km altitudes attained a maximum. When the HF-VHF PMSEs were observed at distances beyond 180 km from MF radar sites, the MF radars detected no appreciable signatures of echo enhancement.</t>
  </si>
  <si>
    <t>Nagoya Univ, Solar Terrestrial Environm Lab, Aichi 4428507, Japan; Nagoya Univ, Solar Terrestrial Environm Lab, Nagoya, Aichi 4648601, Japan; Natl Inst Polar Res, Itabashi Ku, Tokyo 1738515, Japan; Univ Leicester, Dept Phys &amp; Astron, Leicester LE1 7RH, Leics, England</t>
  </si>
  <si>
    <t>Nagoya University; Nagoya University; Research Organization of Information &amp; Systems (ROIS); National Institute of Polar Research (NIPR) - Japan; University of Leicester</t>
  </si>
  <si>
    <t>Ogawa, T (corresponding author), Nagoya Univ, Solar Terrestrial Environm Lab, Aichi 4428507, Japan.</t>
  </si>
  <si>
    <t>ogawa@stelab.nagoya-u.ac.jp</t>
  </si>
  <si>
    <t>Nishitani, Nozomu/R-8831-2019</t>
  </si>
  <si>
    <t>Nishitani, Nozomu/0000-0001-9842-5119</t>
  </si>
  <si>
    <t>10.5194/angeo-22-4049-2004</t>
  </si>
  <si>
    <t>WOS:000226831100004</t>
  </si>
  <si>
    <t>Parkinson, ML; Chisham, G; Pinnock, M; Dyson, PL; Devlin, JC</t>
  </si>
  <si>
    <t>Magnetic local time, substorm, and particle precipitation-related variations in the behaviour of SuperDARN Doppler spectral widths</t>
  </si>
  <si>
    <t>ionosphere; auroral ionosphere; ionosphere-magnetosphere interactions; magnetospheric physics; storms and substorms</t>
  </si>
  <si>
    <t>DIGITAL IONOSONDE MEASUREMENTS; HF RADAR BACKSCATTER; POLAR-CAP BOUNDARY; SCALE IRREGULARITIES; AURORAL EMISSION; NIGHTSIDE; DAYSIDE; CUSP; IONOSPHERE; SIGNATURES</t>
  </si>
  <si>
    <t>Super Dual Auroral Radar Network (DARN) radars often detect a distinct transition in line-of-sight Doppler velocity spread, or spectral width, from &lt;50 m s(-1) at lower latitude to &gt;200 m s(-1) at higher latitude. They also detect a similar boundary, namely the range at which ionospheric scatter with large spectral width suddenly commences (i.e. without preceding scatter with low spectral width). The location and behaviour of the spectral width boundary (SWB) (and scatter boundary) and the open-closed magnetic field line boundary (OCB) are thought to be closely related. The location of the nightside OCB can be inferred from the poleward edge of the auroral oval determined using energy spectra of precipitating particles measured on board Defence Meteorology Satellite Program (DMSP) satellites. Observations made with the Halley SuperDARN radar (75.5degrees S, 26.6degrees W, geographic; -62.0degrees Lambda) and the Tasman International Geospace Environment Radar (TIGER) (43.4degrees S, 147.2degrees E; -54.5degrees Lambda) are used to compare the location of the SWB with the DMSP-inferred OCB during 08:00 to 22:00 UT on 1 April 2000. This study interval was chosen because it includes several moderate substorms, whilst the Halley radar provided almost continuous high-time resolution measurements of the dayside SWB location and shape, and TIGER provided the same in the nightside ionosphere. The behaviour of the day- and nightside SWB can be understood in terms of the expanding/contracting polar cap model of high-latitude convection change, and the behaviour of the nightside SWB can also be organised according to substorm phase. Previous comparisons with DMSP OCBs have proven that the radar SWB is often a reasonable proxy for the OCB from dusk to just past midnight (Chisham et al., 2004). However, the present case study actually suggests that the nightside SWB is often a better proxy for the poleward edge of Pedersen conductance enhanced by hot particle precipitation in the auroral zone. Simple modeling implies that the large spectral widths must be caused by similar to10-km scale velocity fluctuations.</t>
  </si>
  <si>
    <t>m.parkinson@latrobe.edu.au</t>
  </si>
  <si>
    <t>10.5194/angeo-22-4103-2004</t>
  </si>
  <si>
    <t>WOS:000226831100009</t>
  </si>
  <si>
    <t>Chisham, G; Freeman, MP; Coleman, IJ; Pinnock, M; Hairston, MR; Lester, M; Sofko, G</t>
  </si>
  <si>
    <t>Measuring the dayside reconnection rate during an interval of due northward interplanetary magnetic field</t>
  </si>
  <si>
    <t>space plasma physics; magnetic reconnection; magnetospheric physics; magnetopause, cusp and boundary layers; ionosphere; plasma convection</t>
  </si>
  <si>
    <t>HIGH-LATITUDE CONVECTION; HF-RADAR OBSERVATIONS; IONOSPHERIC MULTICELL CONVECTION; BOUNDARY-LAYER CAMPAIGN; DEPENDENT PLASMA-FLOW; ELECTRIC-FIELD; PARTICLE-PRECIPITATION; REVERSE CONVECTION; BIRKELAND CURRENTS; ION PRECIPITATION</t>
  </si>
  <si>
    <t>This study presents, for the first time, detailed spatiotemporal measurements of the reconnection electric field in the Northern Hemisphere ionosphere during an extended interval of northward interplanetary magnetic field. Global convection mapping using the SuperDARN HF radar network provides global estimates of the convection electric field in the northern polar ionosphere. These are combined with measurements of the ionospheric footprint of the reconnection X-line to determine the spatiotemporal variation of the reconnection electric field along the whole X-line. The shape of the spatial variation is stable throughout the interval, although its magnitude does change with time. Consequently, the total reconnection potential along the X-line is temporally variable but its typical magnitude is consistent with the cross-polar cap potential measured by low-altitude satellite overpasses. The reconnection measurements are mapped out from the ionosphere along Tsyganenko model magnetic field lines to determine the most likely reconnection location on the lobe magnetopause. The X-line length on the lobe magnetopause is estimated to be similar to6-11 R-E in extent, depending on the assumptions made when determining the length of the ionospheric X-line. The reconnection electric field on the lobe magnetopause is estimated to be similar to0.2 mV/m in the peak reconnection region.</t>
  </si>
  <si>
    <t>British Antarctic Survey, NERC, Cambridge CB3 0ET, England; Univ Texas, Ctr Space Sci, Richardson, TX 75083 USA; Univ Leicester, Dept Phys &amp; Astron, Leicester LE1 7RH, Leics, England; Univ Saskatchewan, Inst Space &amp; Atmospher Studies, Saskatoon, SK S7N 0W0, Canada</t>
  </si>
  <si>
    <t>UK Research &amp; Innovation (UKRI); Natural Environment Research Council (NERC); NERC British Antarctic Survey; University of Texas System; University of Texas Dallas; University of Leicester; University of Saskatchewan</t>
  </si>
  <si>
    <t>Chisham, G (corresponding author), British Antarctic Survey, NERC, High Cross,Madingley Rd, Cambridge CB3 0ET, England.</t>
  </si>
  <si>
    <t>; Freeman, Mervyn/E-5687-2019</t>
  </si>
  <si>
    <t>Hairston, Marc/0000-0003-4524-4837; Freeman, Mervyn/0000-0002-8653-8279</t>
  </si>
  <si>
    <t>10.5194/angeo-22-4243-2004</t>
  </si>
  <si>
    <t>WOS:000226831100020</t>
  </si>
  <si>
    <t>Martín, C; Navarro, F; Otero, J; Cuadrado, ML; Corcuera, MI</t>
  </si>
  <si>
    <t>Jacka, J</t>
  </si>
  <si>
    <t>Three-dimensional modelling of the dynamics of Johnsons Glacier, Livingston Island, Antarctica</t>
  </si>
  <si>
    <t>ANNALS OF GLACIOLOGY, VOL 39, 2004</t>
  </si>
  <si>
    <t>Annals of Glaciology-Series</t>
  </si>
  <si>
    <t>7th International Symposium on Antarctic Glaciology (ISAG-7)</t>
  </si>
  <si>
    <t>AUG 25-29, 2003</t>
  </si>
  <si>
    <t>Univ Milano Bicocca, Milan, ITALY</t>
  </si>
  <si>
    <t>Univ Milano Bicocca</t>
  </si>
  <si>
    <t>TIDEWATER GLACIERS</t>
  </si>
  <si>
    <t>A new three-dimensional finite-element model of the steady-state dynamics of temperate glaciers has been developed and applied to Johnsons Glacier, Livingston Island, Antarctica, with the aim of determining the velocity and stress fields for the present glacier configuration. It solves the full Stokes system of differential equations without recourse to simplifications such as those involved in the shallow-ice approximation. Rather high values of the stiffness parameter B (similar to 0.19-0.23 MPa a(1/3)) are needed to match the observed ice surface velocities, although these results do not differ much from those found by other authors for temperate glaciers. Best-fit values of the coefficient k in the sliding law (similar to 2.2-2.7 x 10(3) m a(-1) MPa-2) are also of the same order of magnitude as those found by other authors. The results for velocities are satisfactory, though locally there exist significant discrepancies between computed and observed ice surface velocities, particularly for the vertical ones. This could be due to failures in the sliding law (in particular, the lack of information on water pressure), the use of an artificial down-edge boundary condition and the fact that bed deformation is not considered. For the whole glacier system, the driving stress is largely balanced by the basal drag (80% of the driving stress). Longitudinal stress gradients are only important in the divide areas and near the glacier terminus, while lateral drag is only important at both sides of the terminal zone.</t>
  </si>
  <si>
    <t>Univ Politecn Madrid, ETSI Telecomunicac, Dept Matemat Aplicada, ES-28040 Madrid, Spain</t>
  </si>
  <si>
    <t>Universidad Politecnica de Madrid</t>
  </si>
  <si>
    <t>fnv@mat.upm.es</t>
  </si>
  <si>
    <t>Navarro, Francisco/L-2941-2014; Otero, Jaime/L-6521-2014; de Corcuera, María Isabel/ABH-2221-2020; Martin, Carlos/S-2778-2018</t>
  </si>
  <si>
    <t>Navarro, Francisco/0000-0002-5147-0067; Otero, Jaime/0000-0002-3518-7763; Martin, Carlos/0000-0002-2661-169X</t>
  </si>
  <si>
    <t>INT GLACIOLOGICAL SOC</t>
  </si>
  <si>
    <t>LENSFIELD RD, CAMBRIDGE CB2 1ER, ENGLAND</t>
  </si>
  <si>
    <t>0260-3055</t>
  </si>
  <si>
    <t>0-946417-34-2</t>
  </si>
  <si>
    <t>ANN GLACIOL-SER</t>
  </si>
  <si>
    <t>10.3189/172756404781814537</t>
  </si>
  <si>
    <t>BDB58</t>
  </si>
  <si>
    <t>WOS:000232368400001</t>
  </si>
  <si>
    <t>Bianchi, C; Forieri, A; Tabacco, IE</t>
  </si>
  <si>
    <t>Electromagnetic reflecting properties of sub-ice surfaces</t>
  </si>
  <si>
    <t>ANTARCTIC SUBGLACIAL LAKES; WEST ANTARCTICA; MORPHOLOGY</t>
  </si>
  <si>
    <t>The power strength of the radio-echo signal coming from reflecting sub-ice surfaces is used to determine the nature of the reflecting surface, i.e. rock, water or sea water. Electromagnetic analysis shows that the amplitude variations detected by radio-echo sounding are mainly due to the nature of the interface as well as the concave or convex shape of the reflectors. In this paper, some relevant profiles showing the power variations due to the different nature of the interface and the shape of the reflectors are presented. These results are important both for surface shape determination and for subglacial lake detection.</t>
  </si>
  <si>
    <t>Ist Nazl Geofis &amp; Vulcanol, I-00143 Rome, Italy; Univ Milan, Sez Geofis, I-20129 Milan, Italy</t>
  </si>
  <si>
    <t>Istituto Nazionale Geofisica e Vulcanologia (INGV); University of Milan</t>
  </si>
  <si>
    <t>Bianchi, C (corresponding author), Ist Nazl Geofis &amp; Vulcanol, Via Vigna Murata 605, I-00143 Rome, Italy.</t>
  </si>
  <si>
    <t>bianchi@ingv.it</t>
  </si>
  <si>
    <t>10.3189/172756404781813998</t>
  </si>
  <si>
    <t>WOS:000232368400002</t>
  </si>
  <si>
    <t>Oerlemans, J</t>
  </si>
  <si>
    <t>Antarctic ice volume and deep-sea temperature during the last 50 Myr: a model study</t>
  </si>
  <si>
    <t>MASS-BALANCE; CLIMATE; HISTORY; GLACIATION; GLACIERS; OCEAN</t>
  </si>
  <si>
    <t>A simple quasi-analytical model is used to study the sensitivity of the Antarctic ice sheet to climate change. The model is axisymmetrical and has a profile that only depends on the ice-sheet radius. The climatic conditions are represented by three parameters: the altitude of the runoff line, the accumulation rate above the runoff line, and the balance gradient below the runoff line. The ice sheet may extend into the sea. At the grounding line the ice velocity is assumed to be proportional to the water depth. For this set-up, an explicit algebraic expression for the total mass budget of the ice sheet can be derived. After calibration of the model with respect to the present-day ice sheet, equilibrium states are studied for a wide range of temperatures. The model predicts a maximum ice volume (+3.4%) for a temperature that is 2.5 K above the present value. For a temperature increase of 7 K, mass loss by runoff and calving are about the same. In this case the ice volume is about 82% of the current value. The ice-sheet model is used to correct the Cenozoic deep-sea temperature record (delta O-18 record from benthic foraminifera in ocean sediments) for Antarctic ice volume. The model is forced with the oxygen isotope record, which is then corrected for the calculated ice volume. Therefore, the resulting deep-sea temperature and Antarctic ice-volume curves are mutually consistent. It is concluded that for the last 35 X10(6) years the delta O-18 record truly is a mixed temperature/ice-volume record, in which the contributions from these parameters have the same order of magnitude.</t>
  </si>
  <si>
    <t>Univ Utrecht, Inst Marine &amp; Atmospher Res Utrecht, NL-3584 CC Utrecht, Netherlands</t>
  </si>
  <si>
    <t>Utrecht University</t>
  </si>
  <si>
    <t>Oerlemans, J (corresponding author), Univ Utrecht, Inst Marine &amp; Atmospher Res Utrecht, POB 80-005,Princetonpl 5, NL-3584 CC Utrecht, Netherlands.</t>
  </si>
  <si>
    <t>j.oerlemans@phys.uu.nl</t>
  </si>
  <si>
    <t>Oerlemans, Johannes/G-3802-2011</t>
  </si>
  <si>
    <t>10.3189/172756404781814708</t>
  </si>
  <si>
    <t>WOS:000232368400003</t>
  </si>
  <si>
    <t>Casassa, G; Rivera, A; Acuña, C; Brecher, H; Lange, H</t>
  </si>
  <si>
    <t>Elevation change and ice flow at Horseshoe Valley, Patriot Hills, West Antarctica</t>
  </si>
  <si>
    <t>MASS-BALANCE</t>
  </si>
  <si>
    <t>Patriot Hills is located at 80 degrees 18'S, 81 degrees 22'W, at the southernmost end of the Heritage Range, Ellsworth Mountains, West Antarctica. A comparison of glacier elevation data and ice velocities obtained by the differential global positioning system in the period 1996-97 is presented. Ablation/ accumulation rates measured at a network of stakes in Horseshoe Valley show average accumulation of 70 kg m(-2) a(-1) in the central part of the valley, and a maximum ablation of -170 kg m(-2) a(-1) at the edge of the blue-ice area, close to Patriot Hills. Changes in the surface elevation of the glacier measured at 81 stakes in the period 1995-97 show a mean thickening of +0.43 +/- 0.42 m a(-1), which, considering the uncertainties, indicates that the ice sheet around Patriot Hills is in near steady state. Surface velocities, in combination with ice thicknesses obtained by ground-based radio-echo sounding, are used to compute the ice flux across the Horseshoe Valley transect. A total outflow of 0.44 +/- 0.08 km(3) a(-1) is obtained. Considering a catchment area for Horseshoe Valley of 1087 km(2) upstream from the flow transect, and a net accumulation rate of 100 kg m(-2) a(-1), a total input of 0.11 +/- 0.04 km(3) a(-1) by snow accumulation is obtained. Accepting a near-equilibrium condition for the ice sheet, the flux difference, i.e. 0.33 km(3) a(-1), must be supplied by flow from the inland ice sheet through ice cliffs located in mountain gaps in the Heritage Range. If Horseshoe Valley is not in steady state but is thickening, the positive mass balance could be due to increased snow accumulation or enhanced ice flow from the interior of the ice sheet. New data are needed to elucidate this.</t>
  </si>
  <si>
    <t>Ctr Estudios Cient, Valdivia, Chile; Univ Chile, Dept Geog, Lab Glaciol, Santiago, Chile; Univ Bristol, Sch Geog Sci, Bristol Glaciol Ctr, Bristol BS8 1SS, Avon, England; Ohio State Univ, Byrd Polar Res Ctr, Columbus, OH 43210 USA; Terrasat SA, Santiago, Chile</t>
  </si>
  <si>
    <t>Universidad de Chile; University of Bristol; University System of Ohio; Ohio State University</t>
  </si>
  <si>
    <t>Ctr Estudios Cient, Arturo Prat 514,Castilla 1469, Valdivia, Chile.</t>
  </si>
  <si>
    <t>gc@cecs.cl</t>
  </si>
  <si>
    <t>Casassa, Gino/AAX-6142-2020</t>
  </si>
  <si>
    <t>Rivera, Andres/0000-0002-2779-4192</t>
  </si>
  <si>
    <t>10.3189/172756404781814564</t>
  </si>
  <si>
    <t>WOS:000232368400004</t>
  </si>
  <si>
    <t>Jacobi, HW; Kwakye-Awuah, B; Schrems, O</t>
  </si>
  <si>
    <t>Photochemical decomposition of hydrogen peroxide (H2O2) and formaldehyde (HCHO) in artificial snow</t>
  </si>
  <si>
    <t>TO-FIRN TRANSFER; SUMMIT; ICE; GREENLAND; NOX; ATMOSPHERE; SURFACE; NO(X); PHOTOLYSIS; EMISSIONS</t>
  </si>
  <si>
    <t>Laboratory-made snow doped with either hydrogen peroxide (H2O2) or formaldehyde (HCHO) was exposed to radiation in the ultraviolet and visible range, resulting in a decomposition of both compounds. These experiments demonstrate that, besides the photolysis of nitrate, further photochemical reactions of atmospheric relevant compounds can take place in snow. Under similar conditions the decomposition of H2O2 is more efficient than that of HCHO. Since the decompositions in the experiments follow first-order reaction kinetics, we suggest that the same products as in photolysis reactions in the liquid phase are produced. If similar reactions also take place in natural snow covers, these reactions would have several important consequences. The reactions could represent pathways for the generation of highly reactive radicals in the condensed phase, enhancing the photochemical activity of surface snow and modifying the oxidation capacity of the atmospheric boundary layer. The photolysis could also constitute an additional sink for H2O2 and HCHO in surface snow, which should be taken into account for the reconstruction of atmospheric concentrations of both compounds from concentration profiles in surface snow and ice cores.</t>
  </si>
  <si>
    <t>Alfred Wegener Inst Polar &amp; Marine Res, D-27570 Bremerhaven, Germany</t>
  </si>
  <si>
    <t>Alfred Wegener Inst Polar &amp; Marine Res, Am Handelshafen 12, D-27570 Bremerhaven, Germany.</t>
  </si>
  <si>
    <t>hwjacobi@awi-bremerhaven.de</t>
  </si>
  <si>
    <t>Kwakye-Awuah, Bright/V-4995-2019</t>
  </si>
  <si>
    <t>Kwakye-Awuah, Bright/0000-0003-1808-9288; Jacobi, Hans-Werner/0000-0003-2230-3136</t>
  </si>
  <si>
    <t>10.3189/172756404781814357</t>
  </si>
  <si>
    <t>WOS:000232368400005</t>
  </si>
  <si>
    <t>McMorrow, A; Van Ommen, TD; Morgan, V; Curran, MAJ</t>
  </si>
  <si>
    <t>Ultra-high-resolution seasonality of trace-ion species and oxygen isotope ratios in Antarctic firn over four annual cycles</t>
  </si>
  <si>
    <t>ICE-CORE; LAW DOME; SNOW; ACCUMULATION; INFORMATION; CLIMATE; AEROSOL; RECORDS; NITRATE; SUMMIT</t>
  </si>
  <si>
    <t>Ultra-high-resolution firn-core records covering four annual cycles of oxygen isotope ratios (8180) and trace-ion species were generated from a high-accumulation site on Law Dome, East Antarctica. Event-scale dating of the records was established using hourly snow accumulation measurements from a co-located automatic weather station (AWS). These net accumulation events were used to examine the seasonal timing of delta O-18 and a suite of trace-ion species including marine biogenic sulphur compounds (methanesulphonic acid (MSA), non-sea salt sulphate), nitrate and major sea-salt species (sodium, chloride, magnesium). The ultra-high-resolution nature of this study and independent dating scale provide an opportunity to examine exact timings in the seasonality of each species. The traditional summer-maximum species of delta O-18 and VISA show consistent relative phasing during midsummer over the four annual cycles. Nitrate shows an erratic seasonal cycle with a general trend characterized by narrow peaks during spring and early summer, preceding the mid-summer peaks in 8180 and MSA. Non-sea-salt sulphate cycles indicate similar characteristics to MSA signals during summer, but are more comparable to nitrate signals during spring, autumn and winter. This suggests the summer non-sea-salt sulphate signal is driven by biological activity, although this species appears to be linked with nitrate signals outside the summer season. Finally, the sea-salt species indicate a seasonal cycle characterized by maximum concentrations during spring, winter and autumn. Event-scale dating of the firn-core records allows direct comparisons between the seasonal cycles and meteorological conditions. Contemporaneous local air-temperature measurements are compared with the high-resolution delta O-18 record. This allows a detailed investigation of the relationship between site temperature and delta O-18 signals in the ice core.</t>
  </si>
  <si>
    <t>Univ Tasmania, Inst Antarctic &amp; So Ocean Studies, Hobart, Tas 7001, Australia; Antarctic Climate &amp; Ecosyst CRC, Hobart, Tas 7001, Australia; Australian Antarctic Div, Hobart, Tas 7001, Australia</t>
  </si>
  <si>
    <t>McMorrow, A (corresponding author), Dept Environm &amp; Heritage, Australian Greenhouse Off, John Gorton Bldg,GPO Box 787, Canberra, ACT 2601, Australia.</t>
  </si>
  <si>
    <t>Alison.McMorrow@deh.gov.au</t>
  </si>
  <si>
    <t>van Ommen, Tas/B-5020-2012</t>
  </si>
  <si>
    <t>van Ommen, Tas/0000-0002-2463-1718</t>
  </si>
  <si>
    <t>10.3189/172756404781814609</t>
  </si>
  <si>
    <t>WOS:000232368400006</t>
  </si>
  <si>
    <t>Schlosser, E; Reijmer, C; Oerter, H; Graf, W</t>
  </si>
  <si>
    <t>The influence of precipitation origin on the δ18O-T relationship at Neumayer station, Ekstromisen, Antarctica</t>
  </si>
  <si>
    <t>DRONNING MAUD LAND; DEUTERIUM EXCESS; TRAJECTORY MODELS; FIRN CORES; ICE CORES; SNOW; ACCUMULATION; RECORD; ISOTOPES</t>
  </si>
  <si>
    <t>The relationship between delta(18)O and air temperature at Neumayer station, Ekstromisen, Antarctica, was investigated using fresh-snow samples from the time period 1981-2000. A trajectory model that calculated 5 day-backward trajectories was used to study the influence of different synoptic weather situations and thus of different moisture sources on this correlation. Generally a high correlation between air temperature and delta(18)O was found, but the quality of the delta(18)O-T relationship varied with the different trajectory classes. Additionally, the sea-ice coverage on the travel path of the moist air was considered. The amount of open ocean water underneath the trajectory has a large influence on the delta(18)O-T relationship. For trajectories that lead completely above open water, no significant correlation between delta(18)O and T was found, because mixing with air masses containing additionally evaporated water vapour from the ocean influences the isotope ratio of precipitation. A very high correlation, however, was found for transports over the completely ice-covered Weddell Sea.</t>
  </si>
  <si>
    <t>Univ Innsbruck, Inst Meteorol &amp; Geophys, A-6020 Innsbruck, Austria; Univ Utrecht, Inst Marine &amp; Atmospher Res, NL-3584 CC Utrecht, Netherlands; Alfred Wegener Inst Polar &amp; Marine Res, D-27515 Bremerhaven, Germany; GSF Forschungszentrum Umwelt &amp; Gesundheit, D-85758 Neuherberg, Germany</t>
  </si>
  <si>
    <t>University of Innsbruck; Utrecht University; Helmholtz Association; Alfred Wegener Institute, Helmholtz Centre for Polar &amp; Marine Research; Helmholtz Association; Helmholtz-Center Munich - German Research Center for Environmental Health</t>
  </si>
  <si>
    <t>Schlosser, E (corresponding author), Univ Innsbruck, Inst Meteorol &amp; Geophys, Innrain 52, A-6020 Innsbruck, Austria.</t>
  </si>
  <si>
    <t>Elisabeth.Schlosser@uibk.ac.at</t>
  </si>
  <si>
    <t>Reijmer, Carleen H/G-8736-2011</t>
  </si>
  <si>
    <t>Reijmer, Carleen H/0000-0001-8299-3883</t>
  </si>
  <si>
    <t>10.3189/172756404781814276</t>
  </si>
  <si>
    <t>WOS:000232368400007</t>
  </si>
  <si>
    <t>Placidi, L; Faria, SH; Hutter, K</t>
  </si>
  <si>
    <t>On the role of grain growth, recrystallization and polygonization in a continuum theory for anisotropic ice sheets</t>
  </si>
  <si>
    <t>We outline how to incorporate microscale effects of polycrystalline ice into a continuum description. Actually, analyses of ice cores in Antarctica show that different microstructures generally produce different responses, i.e. a non-uniform distribution of c axes gives rise to anisotropic behaviour. It has been recognized that, to describe certain microstructural processes, like recrystallization or polygonization, we need a parameter able to switch them on (e.g. dislocation density or its associated lattice distortion energy). With this in mind, balance equations for a continuum theory of an anisotropic ice sheet undergoing recrystallization have been recently proposed. In this work, we examine relations for some constitutive quantities, in order to take into account the effects of grain-boundary migration, nucleation and polygonization. We check our assumptions by explicit comparison with the first 1200 m of the Byrd (Antarctica) ice core. Current literature usually gives a relation between normal grain growth and grain boundary migration rate. Here, an equation for normal grain growth which also incorporates the influence of polygonization is suggested. It is based on experimental data from the same core in Antarctica. Polygonization is a microscopic process, but here we present a continuum description of the bending stresses which promote the fragmentation of crystallites in terms of the theory of mixtures with continuous diversity.</t>
  </si>
  <si>
    <t>Univ Roma La Sapienza, Lab Mat &amp; Strutture Intelligenti, LT, I-00185 Rome, Italy; Max Planck Inst Math Sci, D-04103 Leipzig, Germany; Tech Univ Darmstadt, Dept Mech, D-64289 Darmstadt, Germany</t>
  </si>
  <si>
    <t>Sapienza University Rome; Max Planck Society; Technical University of Darmstadt</t>
  </si>
  <si>
    <t>Placidi, L (corresponding author), Univ Roma La Sapienza, Lab Mat &amp; Strutture Intelligenti, LT, Piazzale Aldo Moro 5, I-00185 Rome, Italy.</t>
  </si>
  <si>
    <t>lucaplacidi@hotmail.com</t>
  </si>
  <si>
    <t>Placidi, Luca/X-2685-2019; Faria, Sergio Henrique/K-9454-2013</t>
  </si>
  <si>
    <t>Placidi, Luca/0000-0002-1461-3997; Faria, Sergio Henrique/0000-0002-8825-7518</t>
  </si>
  <si>
    <t>10.3189/172756404781814410</t>
  </si>
  <si>
    <t>WOS:000232368400008</t>
  </si>
  <si>
    <t>Udisti, R; Becagli, S; Benassai, S; Castellano, E; Fattori, I; Innocenti, M; Migliori, A; Traversi, R</t>
  </si>
  <si>
    <t>Atmosphere-snow interaction by a comparison between aerosol and uppermost snow-layers composition at Dome C, East Antarctica</t>
  </si>
  <si>
    <t>SEA-SALT AEROSOL; TERRA-NOVA BAY; SOUTH-POLE; ICE CORE; FIRN LAYERS; CHEMISTRY; NITRATE; GREENLAND; REGIONS; SULFATE</t>
  </si>
  <si>
    <t>The study of aerosol composition and air-snow exchange processes is relevant to the reconstruction of past atmosphere composition from ice cores. For this purpose, aerosol samples, superficial snow layers and firn samples from snow pits were collected at Dome Concordia station, East Antarctica, during the 2000/01 summer field season. The aerosol was collected in a 'coarse' and a 'fine' fraction, roughly separated from each other by a stacked filter system (5.0 and 0.4 mu m). Atomic Force Microscopy (AFM) direct measurements on the fine fraction showed that 72% of surface size distribution ranges from 1.0x10(5) to 1.2x10(6) nm(2). Assuming a spherical model, the volume size distribution of particles smaller than 5.0 mu m shows a mode in the radius range 0.2-0.6 mu m. Ion chromatographic 00 measurements of selected chemical components allowed calculation of the ionic balance of the two size fractions. The fine fraction is dominant, representing 86% of the total ionic budget, and it is characterized by high content of sulphate and acidity. Principal component analysis (PCA) identified sea-spray and biogenic aerosol sources and showed some particulars of the transport and depositional processes of some chemical components (Ca2+, MSA, nssSO(4)(2-)). Comparative analysis of aerosol, surface hoar and superficial snow showed differences in chemical composition: nitrate and chloride exhibit very high concentrations in the uppermost snow layers and in the surface hoar, and low values in the aerosol. This evidence demonstrates that nitrate and chloride are mainly in gas phase at Dome C and they can be caught on the snow and hoar surface through dry deposition and adsorption processes.</t>
  </si>
  <si>
    <t>Univ Florence, Dept Chem, I-50019 Sesto Fiorentino, Florence, Italy</t>
  </si>
  <si>
    <t>University of Florence</t>
  </si>
  <si>
    <t>Udisti, R (corresponding author), Univ Florence, Dept Chem, Sci Pole,Via Lastruccia 3, I-50019 Sesto Fiorentino, Florence, Italy.</t>
  </si>
  <si>
    <t>udisti@unifi.it</t>
  </si>
  <si>
    <t>Udisti, Roberto/M-7966-2015; Becagli, Silvia/GNW-2665-2022; Traversi, Rita/M-7586-2015</t>
  </si>
  <si>
    <t>Udisti, Roberto/0000-0003-4440-8238; Traversi, Rita/0000-0002-9790-2195; Becagli, Silvia/0000-0003-3633-4849; Innocenti, Massimo/0000-0003-1044-5583</t>
  </si>
  <si>
    <t>10.3189/172756404781814474</t>
  </si>
  <si>
    <t>WOS:000232368400009</t>
  </si>
  <si>
    <t>Rick, UK; Albert, MR</t>
  </si>
  <si>
    <t>Microstructure and permeability in the near-surface firn near a potential US deep-drilling site in West Antarctica</t>
  </si>
  <si>
    <t>SNOW; DEPOSITION; SUMMIT</t>
  </si>
  <si>
    <t>The microstructure of snow and firn controls the transport of chemical species from the atmosphere into and out of the underlying firn. Permeability and thick-section microstructure measurements have been made from snow-pit and firn-core samples retrieved near the proposed deep-drilling site for the inland West Antarctic ice sheet. Measurements in past investigations of polar firn show that the permeability of the snow gradually increases with depth into the core to about 2 m, then decreases. In this core, there is a second maximum in permeability at approximately 12 m that is likely due to changes in meteorological conditions at the site. Either lower temperatures or higher accumulation rates in the most recent three to four decades could cause the changes in microstructure and permeability in this core. We suggest that climate shifts may alter gas records ultimately preserved in the ice because of the local climate's effect on the permeability profile.</t>
  </si>
  <si>
    <t>Dartmouth Coll, Thayer Sch Engn, Hanover, NH 03755 USA; USA, Cold Reg Res &amp; Engn Lab, Hanover, NH 03755 USA</t>
  </si>
  <si>
    <t>Dartmouth College; United States Department of Defense; United States Army; U.S. Army Corps of Engineers; U.S. Army Engineer Research &amp; Development Center (ERDC); Cold Regions Research &amp; Engineering Laboratory (CRREL)</t>
  </si>
  <si>
    <t>Dartmouth Coll, Thayer Sch Engn, Hanover, NH 03755 USA.</t>
  </si>
  <si>
    <t>ursula.rick@colorado.edu</t>
  </si>
  <si>
    <t>Albert, Mary/0000-0001-7842-2359</t>
  </si>
  <si>
    <t>10.3189/172756404781814320</t>
  </si>
  <si>
    <t>WOS:000232368400010</t>
  </si>
  <si>
    <t>Remy, F; Legresy, B</t>
  </si>
  <si>
    <t>Subglacial hydrological networks in Antarctica and their impact on ice flow</t>
  </si>
  <si>
    <t>EAST ANTARCTICA; DOME-C; LAKES; SHEET; TOPOGRAPHY; GLACIER; SURFACE; REGION; BASIN; HEAT</t>
  </si>
  <si>
    <t>Deep beneath the thick ice cover of the Antarctic continent there exist subglacial hydrological networks, within which basal meltwater can flow. in this paper, we use surface elevation data from European Remote-sensing Satellite radar altimetry to map these subglacial hydrological networks for the whole continent. We observe a confused pattern of subglacial systems, linking regions where basal melting takes place. In some regions, channels can be followed over some hundreds of kilometres. Some of these meet the ice-sheet margin, suggesting that meltwater can be transported all the way to the ocean. We observe an east-west gradient in the distribution of hydrological networks that could be explained by the geothermal flux pattern.</t>
  </si>
  <si>
    <t>UPS, CNRS, CNES, Legos, F-31055 Toulouse, France</t>
  </si>
  <si>
    <t>Universite de Toulouse; Universite Toulouse III - Paul Sabatier; Centre National de la Recherche Scientifique (CNRS); Institut de Recherche pour le Developpement (IRD); Laboratoire d'Etudes en Geophysique et oceanographie spatiales</t>
  </si>
  <si>
    <t>Remy, F (corresponding author), UPS, CNRS, CNES, Legos, 18 Av Edouard Belin, F-31055 Toulouse, France.</t>
  </si>
  <si>
    <t>frederique.remy@cnes.ir</t>
  </si>
  <si>
    <t>legresy, benoit/K-6673-2018</t>
  </si>
  <si>
    <t>legresy, benoit/0000-0002-1909-1630</t>
  </si>
  <si>
    <t>10.3189/172756404781814401</t>
  </si>
  <si>
    <t>WOS:000232368400011</t>
  </si>
  <si>
    <t>Albert, M; Shuman, C; Courville, Z; Bauer, R; Fahnestock, M; Scambos, T</t>
  </si>
  <si>
    <t>Extreme firn metamorphism: impact of decades of vapor transport on near-surface firn at a low-accumulation glazed site on the East Antarctic plateau</t>
  </si>
  <si>
    <t>NATURAL-CONVECTION; SNOW; PERMEABILITY; LAND</t>
  </si>
  <si>
    <t>Snow and firn properties control the transport of vapor, gases and water between the atmosphere and the underlying strata. An understanding of this transport and the properties that control it is important for predicting air-snow transfer of chemical species and for interpreting ice cores. Remote-sensing images of East Antarctica show large areas of alternating light and dark bands. These low-amplitude, long-wavelength features have glazed downwind faces and rough upwind faces and are called megadunes. The first linked measurements of the permeability and the associated microstructure for a glazed area within a well-defined megadune area are reported in this paper. Permeability and density were measured, along with grain-scale properties derived from digital image processing of preserved thick sections, at this cold, low-accumulation glazed site. A clear layering pattern exists. In the top meter the firn density ranges from 0.24 to 0.50 g cm(-3). Permeability measurements range from 50 x 10(-10) to 200 X 10(-10) m(2), several times greater than corresponding profiles from warmer, higher-accumulation sites like Siple Dome, Antarctica. It is shown that buoyancy-driven natural convection may be important in post-depositional processes in very cold, low-accumulation sites like this.</t>
  </si>
  <si>
    <t>USA, Cold Reg Res &amp; Engn Lab, Hanover, NH 03755 USA; Dartmouth Coll, Hanover, NH 03755 USA; NASA, Goddard Space Flight Ctr, Greenbelt, MD 20771 USA; Univ Colorado, Natl Snow &amp; Ice Data Ctr, Boulder, CO 80301 USA; Univ New Hampshire, Ctr Study Complex Syst, Durham, NH 03824 USA</t>
  </si>
  <si>
    <t>United States Department of Defense; United States Army; U.S. Army Corps of Engineers; U.S. Army Engineer Research &amp; Development Center (ERDC); Cold Regions Research &amp; Engineering Laboratory (CRREL); Dartmouth College; National Aeronautics &amp; Space Administration (NASA); NASA Goddard Space Flight Center; University of Colorado System; University of Colorado Boulder; University System Of New Hampshire; University of New Hampshire</t>
  </si>
  <si>
    <t>USA, Cold Reg Res &amp; Engn Lab, 72 Lyme Rd, Hanover, NH 03755 USA.</t>
  </si>
  <si>
    <t>mary.r.albert@erdc.usace.army.mil</t>
  </si>
  <si>
    <t>Scambos, Ted A/B-1856-2009; Fahnestock, Mark A/N-2678-2013</t>
  </si>
  <si>
    <t>SCAMBOS, Ted A./0000-0003-4268-6322; Courville, Zoe/0000-0002-5968-6620; Albert, Mary/0000-0001-7842-2359</t>
  </si>
  <si>
    <t>10.3189/172756404781814041</t>
  </si>
  <si>
    <t>WOS:000232368400012</t>
  </si>
  <si>
    <t>Hubbard, A; Lawson, W; Anderson, B; Hubbard, B; Blatter, H</t>
  </si>
  <si>
    <t>Evidence for subglacial ponding across Taylor Glacier, Dry Valleys, Antarctica</t>
  </si>
  <si>
    <t>GREENLAND ICE-SHEET; SOUTH VICTORIA LAND; BASAL ICE; DYNAMICS</t>
  </si>
  <si>
    <t>Ice-penetrating radar and modelling data are presented suggesting the presence of a zone of temperate ice, water ponding or saturated sediment beneath the tongue of Taylor Glacier, Dry Valleys, Antarctica. The proposed subglacial zone lies 3-6 km up-glacier of the terminus and is 400-1000 m across. The zone coincides with an extensive topographic overdeepening to 80 m below sea level. High values of residual bed reflective power across this zone compared to other regions and the margins of the glacier require a high dielectric contrast between the ice and the bed and are strongly indicative of the presence of basal water or saturated sediment. Analysis of the hydraulic equipotential surface also indicates strong convergence into this zone of subglacial water flow paths. However, thermodynamic modelling reveals that basal temperatures in this region could not exceed -7 degrees C relative to the pressure-melting point. Such a result is at odds with the radar observations unless the subglacial water is a hypersaline brine.</t>
  </si>
  <si>
    <t>Univ Edinburgh, Dept Geog, Edinburgh EH8 9XP, Midlothian, Scotland; Univ Canterbury, Dept Geog, Christchurch 1, New Zealand; Univ Coll Wales, Inst Geog &amp; Earth Sci, Ctr Glaciol, Aberystwyth SY23 3DB, Dyfed, Wales; Swiss Fed Inst Technol, ETH, Inst Geog, CH-8057 Zurich, Switzerland</t>
  </si>
  <si>
    <t>University of Edinburgh; University of Canterbury; Aberystwyth University; Swiss Federal Institutes of Technology Domain; ETH Zurich</t>
  </si>
  <si>
    <t>Univ Edinburgh, Dept Geog, Drummond St, Edinburgh EH8 9XP, Midlothian, Scotland.</t>
  </si>
  <si>
    <t>alh@geo.ed.ac.uk</t>
  </si>
  <si>
    <t>; Hubbard, Alun/R-5085-2017</t>
  </si>
  <si>
    <t>Hubbard, Bryn/0000-0002-3565-3875; Hubbard, Alun/0000-0002-0503-3915</t>
  </si>
  <si>
    <t>10.3189/172756404781813970</t>
  </si>
  <si>
    <t>WOS:000232368400013</t>
  </si>
  <si>
    <t>Engelhardt, H</t>
  </si>
  <si>
    <t>Thermal regime and dynamics of the West Antarctic ice sheet</t>
  </si>
  <si>
    <t>SIPLE DOME; STREAM-C; BENEATH; MARGIN; FLOW; CONSTRAINTS; TEMPERATURE; STAGNATION; LEVEL; RADAR</t>
  </si>
  <si>
    <t>The temperature-depth profiles measured in 22 boreholes drilled on the West Antarctic ice sheet exhibit two distinctly different thermal states of its basal ice. The warm state shows on Siple Dome and on Whillans Ice Stream. A relatively colder state, found at the Unicorn, Kamb Ice Stream (former Ice Stream C) and Bindschadler Ice Stream (former Ice Stream D), has basal temperature gradients greater than 50 K km(-1). A large block of cold ice stranded and frozen to the bed at the Unicorn and simultaneously much warmer ice existing only a few kilometers across the Dragon shear margin in fast-moving Alley Ice Stream (former Ice Stream 132) poses a paradox. The relatively cold ice at the Unicorn must have come from a source different from the present Whillans Ice Stream catchment area. It is hypothesized that the Unicorn paradox was created by a super-surge. Also, the stagnant Siple Ice Stream, many relict shear margins, cold patches of ice at the Crary Ice Rise, ice rafts embedded in the Ross Ice Shelf, all point to a major event triggered either by an internal instability or by a subareal volcanic eruption. Most of these features appeared to have been formed about 500 years ago. Subsequent freeze-on of a 10-20 m thick basal layer of debris-laden ice and water loss caused a slow-down of ice streams and, in the case of Kamb Ice Stream, an almost complete stoppage.</t>
  </si>
  <si>
    <t>CALTECH, Div Geol &amp; Planetary Sci, Pasadena, CA 91125 USA</t>
  </si>
  <si>
    <t>California Institute of Technology</t>
  </si>
  <si>
    <t>CALTECH, Div Geol &amp; Planetary Sci, Pasadena, CA 91125 USA.</t>
  </si>
  <si>
    <t>hermann@skua.gps.caltech.edu</t>
  </si>
  <si>
    <t>10.3189/172756404781814203</t>
  </si>
  <si>
    <t>WOS:000232368400014</t>
  </si>
  <si>
    <t>Stauffer, B; Flückiger, J; Wolff, E; Barnes, P</t>
  </si>
  <si>
    <t>The EPICA deep ice cores:: first results and perspectives</t>
  </si>
  <si>
    <t>DOME-C; EAST ANTARCTICA; GREENLAND ICE; CLIMATE; RECORD; DUST; CO2; TRANSITION; DURATION; CYCLES</t>
  </si>
  <si>
    <t>Two deep ice cores are being drilled in Antarctica in the frame of the European Project for Ice Coring in Antarctica (EPICA). The Dome C ice core will provide more information about mechanisms of global climatic changes over several climatic cycles. The DML core, drilled at Kohnen station, will provide a detailed record over the last climatic cycle, which can be compared with Greenland records. The drilling at Dome C reached 3200 m depth during field season 2002/03, and the age of the ice at the bottom of the hole could be 900 000 years according to preliminary estimates. The depth at Kohnen station is 1564.6 m at present, corresponding to an age of about 55000 years. Analyses along the top parts of both ice cores have provided interesting first results. A few selected results from these parts, mostly published already, are summarized. Only a few measurements are available from the deeper parts of both cores. Dielectric profiling and electrical conductivity measurements, performed in the field, provide continuous and high-resolution records concerning the acidity and the salt concentration of the ice. Continuous flow analyses and Fast Ion Chromatography also provide high-resolution records of several chemical compounds. These records give some clues as to the age scale of the EPICA Dome C ice core, but they also leave us with many open questions.</t>
  </si>
  <si>
    <t>Univ Bern, Inst Phys, CH-3012 Bern, Switzerland; British Antarctic Survey, NERC, Cambridge CB3 0ET, England</t>
  </si>
  <si>
    <t>University of Bern; UK Research &amp; Innovation (UKRI); Natural Environment Research Council (NERC); NERC British Antarctic Survey</t>
  </si>
  <si>
    <t>Stauffer, B (corresponding author), Univ Bern, Inst Phys, Sidlerstr 5, CH-3012 Bern, Switzerland.</t>
  </si>
  <si>
    <t>bemard.stauffer@bluewin.ch</t>
  </si>
  <si>
    <t>Fluckiger, Jacqueline/G-3457-2011; Wolff, Eric W/D-7925-2014; Barnes, Piers/F-1558-2010</t>
  </si>
  <si>
    <t>Wolff, Eric W/0000-0002-5914-8531; Barnes, Piers/0000-0002-7537-8759</t>
  </si>
  <si>
    <t>10.3189/172756404781814500</t>
  </si>
  <si>
    <t>WOS:000232368400015</t>
  </si>
  <si>
    <t>Gow, AJ; Meese, DA; Bialas, RW</t>
  </si>
  <si>
    <t>Accumulation variability, density profiles and crystal growth trends in ITASE firn and ice cores from West Antarctica</t>
  </si>
  <si>
    <t>DRONNING MAUD-LAND; EAST ANTARCTICA; BYRD-STATION; SHEET; SNOW; FABRICS; SITES</t>
  </si>
  <si>
    <t>Results of analyses of snow annual accumulation variability, density and crystal growth measurements in firn and ice cores recovered from the upper layers of the West Antarctic ice sheet during the US component of the International Trans-Antarctic Scientific Expedition (ITASE) are presented. Annual-layer structure was analyzed on the basis of the visible stratigraphy and electrical conductivity measurement record in each core. Annual accumulation varied appreciably between core sites and within cores at individual sites where undulating surface topography appears to be exerting a significant impact on the magnitude of snow deposition. All density profiles except one exhibited densification that was normal with respect to snow annual accumulation and 10 m firn temperatures. Snow annual accumulation was determined stratigraphically, and 10 m firn temperatures were either measured in the holes drilled for cores or inferred using elevation changes relative to Byrd Station, the 10 m temperature at Byrd Station and an assumed lapse rate. Measurements at the one exceptional location indicated that the firn had undergone extremely rapid densification to ice, with the transition to ice occurring at 35-36 m depth. Furthermore, thin-section measurements of grain-size show that the growth of crystals accelerated below the firn-ice transition. The behavior at this one site is attributed to localized deformation in the upper layers of firn and ice. Enhanced crystal growth was also observed at another site. At all other locations where grain-sizes were measured, the rates of crystal growth were in accord with age-temperature relationships observed by other researchers in Antarctica and Greenland. Profiles illustrating pore-crystal structure changes with increasing depth of burial are also presented.</t>
  </si>
  <si>
    <t>USA, Cold Reg Res &amp; Engn Lab, Hanover, NH 03755 USA; Dartmouth Coll, Hanover, NH 03755 USA</t>
  </si>
  <si>
    <t>United States Department of Defense; United States Army; U.S. Army Corps of Engineers; U.S. Army Engineer Research &amp; Development Center (ERDC); Cold Regions Research &amp; Engineering Laboratory (CRREL); Dartmouth College</t>
  </si>
  <si>
    <t>Gow, AJ (corresponding author), USA, Cold Reg Res &amp; Engn Lab, 72 Lyme Rd, Hanover, NH 03755 USA.</t>
  </si>
  <si>
    <t>tgow@crrel.usace.army.mil</t>
  </si>
  <si>
    <t>10.3189/172756404781814690</t>
  </si>
  <si>
    <t>WOS:000232368400016</t>
  </si>
  <si>
    <t>Marino, F; Maggi, V; Delmonte, B; Ghermandi, G; Petit, JR</t>
  </si>
  <si>
    <t>Elemental composition (Si, Fe, Ti) of atmospheric dust over the last 220 kyr from the EPICA ice core (Dome C, Antarctica)</t>
  </si>
  <si>
    <t>EAST ANTARCTICA; PIXE ANALYSIS; CLIMATE; IRON; AEROSOL; MINERALOGY; PARTICLES; PACIFIC; ORIGIN; VOSTOK</t>
  </si>
  <si>
    <t>In this work, we present the records of insoluble silicon (Si), iron (Fe) and titanium (Ti) from continental mineral particles (dust) archived in the first 2200 m of the EPICA Dome C (EDC) ice core. More than 200 samples covering the last 220 kyr, back to marine isotopic stage 7.4, were analyzed using the particle-induced X-ray emission (PIXE) technique, applied here for the first time to the investigation of the mineral content of an Antarctic ice core. The measurements were made exclusively on the insoluble fraction, obtained from filtration of the melted ice samples. The mineral fraction of the particle mass determined from the PIXE measurements is highly correlated to the total dust mass determined by particle counting using a Coulter (c) Counter. The principal variations during the different climatic periods are very coherent between the PIXE analysis results and the total dust mass determined by counting. Both sets of results show increasing concentration values during glacial stages 2, 4 and 6 and very low particle content during interglacials (Holocene and stage 5e). The large increase in atmospheric dustiness during cold stages is assumed to be caused by several factors, among which are the enhanced vigour of atmospheric transport. However, the PIXE results from this work highlight some slight differences in Si, Fe and Ti concentrations with respect to the total dust mass during the different climatic periods. As a hypothesis, such variations could reflect either different atmospheric processes affecting particles during transport, or changes that occurred in the dust source regions.</t>
  </si>
  <si>
    <t>Univ Milano Bicocca, Dept Environm Sci, DISAT, I-20126 Milan, Italy; Univ Siena, Dept Earth Sci, I-53100 Siena, Italy; Lab Glaciol &amp; Geophys Environm, CNRS, F-38402 St Martin Dheres, France; Univ Modena &amp; Reggio Emilia, Dept Civil Engn &amp; Mech, I-41100 Modena, Italy</t>
  </si>
  <si>
    <t>University of Milano-Bicocca; University of Siena; Centre National de la Recherche Scientifique (CNRS); Universita di Modena e Reggio Emilia</t>
  </si>
  <si>
    <t>Univ Milano Bicocca, Dept Environm Sci, DISAT, Piazza Sci 1, I-20126 Milan, Italy.</t>
  </si>
  <si>
    <t>federica.marino@unimib.it</t>
  </si>
  <si>
    <t>Maggi, Valter/AAX-5728-2020; Maggi, Valter/E-1878-2014; Delmonte, Barbara/L-2555-2015; Ghermandi, Grazia/N-1775-2015</t>
  </si>
  <si>
    <t>Maggi, Valter/0000-0001-6287-1213; Delmonte, Barbara/0000-0002-9074-2061; Ghermandi, Grazia/0000-0002-4597-8948</t>
  </si>
  <si>
    <t>10.3189/172756404781813862</t>
  </si>
  <si>
    <t>WOS:000232368400017</t>
  </si>
  <si>
    <t>van den Broeke, MR; van Lipzig, NPM</t>
  </si>
  <si>
    <t>Changes in Antarctic temperature, wind and precipitation in response to the Antarctic Oscillation</t>
  </si>
  <si>
    <t>SOUTHERN-HEMISPHERE ATMOSPHERE; REGIONAL CLIMATE MODEL; NCEP-NCAR REANALYSIS; BOUNDARY-LAYER; SEA-ICE; SYNCHRONOUS VARIABILITY; SURFACE PRESSURE; EAST ANTARCTICA; ANNULAR MODE; IN-SITU</t>
  </si>
  <si>
    <t>Output of a 14 year integration with a high-resolution (55 km x 55 km) regional atmospheric climate model is used to study the response of Antarctic near-surface climate to the Antarctic Oscillation (AAO), the periodical strengthening and weakening of the circumpolar vortex in the Southern Hemisphere. In spite of the relatively short record, wind, temperature and precipitation show widespread and significant AAO-related signals. When the vortex is strong (high AAO index), northwesterly flow anomalies cause warming over the Antarctic Peninsula (AP) and adjacent regions in West Antarctica and the Weddell Sea. In contrast, cooling occurs in East Antarctica, the eastern Ross Ice Shelf and parts of Marie Byrd Land. Most of the annual temperature signal stems from the months March-August. The spatial distribution of the precipitation response to changes in the AAO does not mirror temperature changes but is in first order determined by the direction of flow anomalies with respect to the Antarctic topography. When the vortex is strong (high AAO index), the western AP becomes wetter, while the Ross Ice Shelf, parts of West Antarctica and the Lambert Glacier basin, East Antarctica, become drier.</t>
  </si>
  <si>
    <t>Univ Utrecht, Inst Marine &amp; Atmospher Res Utrecht, NL-3508 TA Utrecht, Netherlands; Royal Netherlands Meteorol Inst, NL-3730 AE De Bilt, Netherlands</t>
  </si>
  <si>
    <t>Utrecht University; Royal Netherlands Meteorological Institute</t>
  </si>
  <si>
    <t>Univ Utrecht, Inst Marine &amp; Atmospher Res Utrecht, POB 80-005,Princetonpl 5, NL-3508 TA Utrecht, Netherlands.</t>
  </si>
  <si>
    <t>broeke@phys.uu.nl</t>
  </si>
  <si>
    <t>van Lipzig, Nicole/ABF-2964-2021; Van den Broeke, Michiel R./F-7867-2011</t>
  </si>
  <si>
    <t>van Lipzig, Nicole/0000-0003-2899-4046; Van den Broeke, Michiel R./0000-0003-4662-7565</t>
  </si>
  <si>
    <t>10.3189/172756404781814654</t>
  </si>
  <si>
    <t>WOS:000232368400018</t>
  </si>
  <si>
    <t>Mayewski, PA; Maasch, KA; White, JWC; Steig, EJ; Meyerson, E; Goodwin, I; Morgan, VI; Van Ommen, T; Curran, MAJ; Souney, J; Kreutz, K</t>
  </si>
  <si>
    <t>A 700 year record of Southern Hemisphere extratropical climate variability</t>
  </si>
  <si>
    <t>ANTARCTIC SEA-ICE; LAW DOME; ATMOSPHERIC CIRCULATION; HOLOCENE CLIMATE; CORE; ENSO; TELECONNECTIONS; TEMPERATURES; AMUNDSEN; PACIFIC</t>
  </si>
  <si>
    <t>Annually dated ice cores from West and East Antarctica provide proxies for past changes in atmospheric circulation over Antarctica and portions of the Southern Ocean, temperature in coastal West and East Antarctica, and the frequency of South Polar penetration of El Nino events. During the period (AD) 1700-1850, atmospheric circulation over the Antarctic and at least portions of the Southern Hemisphere underwent a mode switch departing from the out-of-phase alternation of multi-decadal long phases of EOF1 and EOF2 modes of the 850 hPa field over the Southern Hemisphere (as defined in the recent record by Thompson and Wallace, 2000; Thompson and Solomon, 2002) that characterizes the remainder of the 700 year long record. From (AD) 1700 to 1850, lower-tropospheric circulation was replaced by in-phase behavior of the Amundsen Sea Low component of EOF2 and the East Antarctic High component of EOF1. During the first phase of the mode switch, both West and East Antarctic temperatures declined, potentially in response to the increased extent of sea ice surrounding both regions. At the end of the mode switch, West Antarctic coastal temperatures rose and East Antarctic coastal temperatures fell, respectively, to their second highest and lowest of the record. Polar penetration of El Nino events increased during the mode switch. The onset of the AD 1700-1850 mode switch coincides with the extreme state of the Maunder Minimum in solar variability. Late 20th-century West Antarctic coastal temperatures are the highest in the record period, and East Antarctic coastal temperatures close to the lowest. Since AD 1700, extratropical regions of the Southern Hemisphere have experienced significant climate variability coincident with changes in both solar variability and greenhouse gases.</t>
  </si>
  <si>
    <t>Univ Maine, Climate Change Inst, Bryand Global Sci Ctr 303, Orono, ME 04469 USA; Univ Colorado, Inst Arctic &amp; Alpine Res, Boulder, CO 80309 USA; Univ Washington, Quaternary Res Ctr, Seattle, WA 98195 USA; Univ Washington, Dept Earth &amp; Space Sci, Seattle, WA 98195 USA; Univ Newcastle, Sch Environm &amp; Life Sci, Callaghan, NSW 2308, Australia; Antarctic CRC, Hobart, Tas 7001, Australia; Australian Antarctic Div, Hobart, Tas 7001, Australia; Univ New Hampshire, Inst Study Earth Oceans &amp; Space, Durham, NH 03824 USA</t>
  </si>
  <si>
    <t>University of Maine System; University of Maine Orono; University of Colorado System; University of Colorado Boulder; University of Washington; University of Washington Seattle; University of Washington; University of Washington Seattle; University of Newcastle; Australian Antarctic Division; University System Of New Hampshire; University of New Hampshire</t>
  </si>
  <si>
    <t>Univ Maine, Climate Change Inst, Bryand Global Sci Ctr 303, Orono, ME 04469 USA.</t>
  </si>
  <si>
    <t>paul.mayewski@maine.edu</t>
  </si>
  <si>
    <t>Mayewski, Paul Andrew/HRD-6969-2023; Maasch, Kirk/JMQ-8426-2023; White, James W.C./A-7845-2009; van Ommen, Tas/B-5020-2012; /G-9088-2015</t>
  </si>
  <si>
    <t>Maasch, Kirk Allen/0000-0002-8658-8030; van Ommen, Tas/0000-0002-2463-1718; Goodwin, Ian/0000-0001-8682-6409; /0000-0002-8191-5549; Souney, Joseph/0000-0002-1492-6432</t>
  </si>
  <si>
    <t>10.3189/172756404781814249</t>
  </si>
  <si>
    <t>WOS:000232368400019</t>
  </si>
  <si>
    <t>Thomas, R; Rignot, E; Kanagaratnam, P; Krabill, W; Casassa, G</t>
  </si>
  <si>
    <t>Force-perturbation analysis of Pine Island Glacier, Antarctica, suggests cause for recent acceleration</t>
  </si>
  <si>
    <t>ICE-SHEET; WEST ANTARCTICA; SHELF; GREENLAND; COLLAPSE</t>
  </si>
  <si>
    <t>Pine Island Glacier, flowing into the Amundsen Sea from West Antarctica, thinned substantially during the 1990s, its grounding line receded by several km, and its velocity increased by &gt;10% to values approaching 3 km a(-1). Here, we use these observations, together with estimates of ice thickness and surface strain rates, to estimate the perturbation in forces resisting ice flow compatible with the observations. The analysis assumes that such perturbations are transmitted far upstream from where they originate, and that creep response to the perturbations can be described by equations similar to those that govern ice-shelf creep. It indicates that observed acceleration between 1996 and 2000 could have been caused by progressive ungrounding within the most seaward 25 km 'ice plain' of the grounded glacier. Earlier retreat and thinning of the glacier's floating ice shelf may have provided the conditions that initiated ungrounding of the ice plain. Our analysis indicates that continued ice-plain thinning at the current rate of about 2 m a(-1) will result in a velocity increase by 1 km a(-1) within the next 11 years as the ice plain becomes totally ungrounded.</t>
  </si>
  <si>
    <t>NASA, Wallops FLight Facil, EG&amp;G Serv, Wallops Isl, VA 23337 USA; CALTECH, Jet Prop Lab, Pasadena, CA 91109 USA; Univ Kansas, Radar Syst &amp; Remote Sensing Lab, Lawrence, KS 66045 USA; NASA, Wallops FLight Facil, Code 972, Wallops Isl, VA 23337 USA; Ctr Estudios Cient, Valdivia, Chile</t>
  </si>
  <si>
    <t>National Aeronautics &amp; Space Administration (NASA); NASA Goddard Space Flight Center; Wallops Flight Facility; National Aeronautics &amp; Space Administration (NASA); NASA Jet Propulsion Laboratory (JPL); California Institute of Technology; University of Kansas; National Aeronautics &amp; Space Administration (NASA); NASA Goddard Space Flight Center; Wallops Flight Facility</t>
  </si>
  <si>
    <t>Thomas, R (corresponding author), NASA, Wallops FLight Facil, EG&amp;G Serv, Bldg N-159, Wallops Isl, VA 23337 USA.</t>
  </si>
  <si>
    <t>thomas@osb.wff.nasa.gov</t>
  </si>
  <si>
    <t>Rignot, Eric/A-4560-2014; Casassa, Gino/AAX-6142-2020; Kanagaratnam, Pannirselvam/HMU-8754-2023</t>
  </si>
  <si>
    <t>Rignot, Eric/0000-0002-3366-0481;</t>
  </si>
  <si>
    <t>10.3189/172756404781814429</t>
  </si>
  <si>
    <t>WOS:000232368400020</t>
  </si>
  <si>
    <t>Bertler, NAN; Mayewski, PA; Barrett, PJ; Sneed, SB; Handley, MJ; Kreutz, KJ</t>
  </si>
  <si>
    <t>Monsoonal circulation of the McMurdo Dry Valleys, Ross Sea Region, Antarctica: signal from the snow chemistry</t>
  </si>
  <si>
    <t>SPATIAL VARIABILITY; SALT AEROSOL; SURFACE SNOW; ICE CORES; GLACIOCHEMISTRY; SULFATE; NITRATE; FIRN; DOME; MSA</t>
  </si>
  <si>
    <t>McMurdo Dry Valleys (MDV, Ross Sea region, Antarctica) precipitation exhibits extreme seasonality in ion concentration, 3-5 orders of magnitude between summer and winter precipitation. To identify aerosol sources and investigate causes for the observed amplitude in concentration variability, four snow pits were sampled along a coast-Polar Plateau transect across the MDV. The elevation of the sites ranges from 50 to 2400 m and the distance from the coast from 8 to 93 km. Average chemistry gradients along the transect indicate that most species have either a predominant marine or terrestrial source in the MDV. Empirical orthogonal function analysis on the snow-chemistry time series shows that at least 57% of aerosol deposition occurs concurrently. A conceptual climate model, based on meteorological observations, is used to explain the strong seasonality in the MDV. Our results suggest that radiative forcing of the ice-free valleys creates a surface low-pressure cell during summer which promotes air-mass flow from the Ross Sea. The associated precipitating air mass is relatively warm, humid and contains a high concentration of aerosols. During winter, the MDV are dominated by air masses draining off the East Antarctic ice sheet, that are characterized by cold, dry and low concentrations of aerosols. The strong differences between these two air-mass sources create in the MDV a polar version of the monsoonal flow, with humid, warm summers and dry, cold winters.</t>
  </si>
  <si>
    <t>Victoria Univ Wellington, Antarctic Res Ctr, Wellington, New Zealand; Univ Maine, Edward T Bryand Global Sci Ctr 5790, Climate Change Inst, Orono, ME 04469 USA</t>
  </si>
  <si>
    <t>Victoria University Wellington; University of Maine System; University of Maine Orono</t>
  </si>
  <si>
    <t>Bertler, NAN (corresponding author), Victoria Univ Wellington, Antarctic Res Ctr, POB 6000, Wellington, New Zealand.</t>
  </si>
  <si>
    <t>nancy.bertler@VUWac.nz</t>
  </si>
  <si>
    <t>Bertler, Nancy A N/F-3967-2011; Mayewski, Paul Andrew/HRD-6969-2023</t>
  </si>
  <si>
    <t>Bertler, Nancy/0000-0001-6028-4891</t>
  </si>
  <si>
    <t>10.3189/172756404781814087</t>
  </si>
  <si>
    <t>WOS:000232368400021</t>
  </si>
  <si>
    <t>Ruth, U; Wagenbach, D; Mulvaney, R; Oerter, H; Graf, W; Pulz, H; Littot, G</t>
  </si>
  <si>
    <t>Comprehensive 1000 year climatic history from an intermediate-depth ice core from the south dome of Berkner Island, Antarctica: methods, dating and first results</t>
  </si>
  <si>
    <t>DRONNING MAUD LAND; SEA-SALT AEROSOL; PAST 2 KYR; GREENLAND; FIRN; NITRATE; SNOW</t>
  </si>
  <si>
    <t>A 181 m deep ice core drilled in 1994/95 on the south dome of Berkner Island, Antarctica, was analyzed for stable isotopes, major ions and microparticle concentrations. Samples for ion chromatography were prepared by using a novel technique of filling decontaminated sample from a device for continuous ice-core melting directly into the sample vials. The core was dated through identification of volcanic horizons and interpolative layer counting. The core, together with a similar core from the north dome, reveals a 1000 year history of relatively stable climate. Temporal variations in the two cores deviate from each other owing to changing patterns of regional-scale circulation; the best correspondence between them is found for MSA(-). delta O-18, accumulation rate and a sea-salt proxy show only negligible correlation, which suggests a complex meteorological setting. Increasing annual accumulation is observed for the last 100 years. A period of increased sea-salt concentrations started around AD 1405, as has also been observed in other cores. Microparticle concentrations are on average 1220 particles (&gt;= 1.0 mu m diameter) mL(-1); they are enhanced from (AD) 1200 to 1350, possibly because of a higher atmospheric mineral dust load or because local volcanic activity was stronger than previously thought. Microparticles and NH4+ show marked but multiple and very irregular sub-annual peaks; long-term stacking of 1 year data intervals yields seasonal maxima in austral spring or mid-summer, respectively. Post-depositional redistribution was observed for MSA, NO3- and F- at volcanic horizons.</t>
  </si>
  <si>
    <t>Alfred Wegener Inst Polar &amp; Marine Res, D-27568 Bremerhaven, Germany; Heidelberg Univ, Inst Environm Phys, D-69120 Heidelberg, Germany; British Antarctic Survey, NERC, Cambridge CB3 0ET, England; GSF Forschungszentrum Umwelt &amp; Gesundheit, D-85758 Neuherberg, Germany</t>
  </si>
  <si>
    <t>Helmholtz Association; Alfred Wegener Institute, Helmholtz Centre for Polar &amp; Marine Research; Ruprecht Karls University Heidelberg; UK Research &amp; Innovation (UKRI); Natural Environment Research Council (NERC); NERC British Antarctic Survey; Helmholtz Association; Helmholtz-Center Munich - German Research Center for Environmental Health</t>
  </si>
  <si>
    <t>Alfred Wegener Inst Polar &amp; Marine Res, Columbusstr, D-27568 Bremerhaven, Germany.</t>
  </si>
  <si>
    <t>urs.ruth@urz.uni-heidelberg.de</t>
  </si>
  <si>
    <t>Mulvaney, Robert/K-3929-2012</t>
  </si>
  <si>
    <t>Mulvaney, Robert/0000-0002-5372-8148</t>
  </si>
  <si>
    <t>Natural Environment Research Council [bas010001] Funding Source: researchfish; NERC [bas010001] Funding Source: UKRI</t>
  </si>
  <si>
    <t>Natural Environment Research Council(UK Research &amp; Innovation (UKRI)Natural Environment Research Council (NERC)); NERC(UK Research &amp; Innovation (UKRI)Natural Environment Research Council (NERC))</t>
  </si>
  <si>
    <t>10.3189/172756404781814104</t>
  </si>
  <si>
    <t>WOS:000232368400022</t>
  </si>
  <si>
    <t>Ren, JW; Sun, JY; Qin, DH</t>
  </si>
  <si>
    <t>Preliminary results of ionic concentrations in snow pits along the Zhongshan-Dome A traverse route, Antarctica</t>
  </si>
  <si>
    <t>PRINCESS-ELIZABETH-LAND; EXPLOSIVE VOLCANISM; SOUTH-POLE; ICE; CHEMISTRY; RECORD</t>
  </si>
  <si>
    <t>During an inland traverse expedition along the route from Zhongshan station on the coast to Dome A (about 4200 m a.s.l.; 1400 km from Zhongshan) in East Antarctica in 1998/99, three snow pits with a depth of 2.1-3.3 m were sampled continuously. Snow pits were located at sites 800-1100 km from the coast, with altitudes varying from 2850 to 3760m. The samples were analyzed for stable oxygen isotope and major ions. Seasonal variations in delta(18)O are not clear, so initial dating was made through comparison of concentration profiles of major ions and then adjusted according to the visible stratigraphy. Generally, average ionic concentrations decrease with increasing altitude and hence distance from the coast, but NH4+ and Ca2+ have relatively high values at a site 1000 km inland. Ionic concentrations tend to increase with depth at lower altitudes, but the opposite is true at higher altitudes. Accumulation rates increase with depth at site DT401 (3760m a.s.l.; 1097 km from Zhongshan) and decrease at DT364 (3380 m a.s.l.; 1022 km from Zhongshan) and DT263 (2850 m a.s.l.; 820 km from Zhongshan), suggesting that differences in regional trends exist. In all snow pits, Na+ and Cl--concentration profiles have a very good positive correlation. Profiles of nssSO(4)(2-) in the pits show quite different features. At 3760m a.s.l, no remarkable nssSO(4)(2-) peaks can be distinguished, but one and three peak sets are quite striking at 3380 and 2850 m, respectively.</t>
  </si>
  <si>
    <t>Chinese Acad Sci, Cold &amp; Arid Reg Environm &amp; Engn Res Inst, Key Lab Ice Core &amp; Cold Reg Environm, Lanzhou 730000, Peoples R China</t>
  </si>
  <si>
    <t>Chinese Academy of Sciences; Cold &amp; Arid Regions Environmental &amp; Engineering Research Institute, CAS</t>
  </si>
  <si>
    <t>Chinese Acad Sci, Cold &amp; Arid Reg Environm &amp; Engn Res Inst, Key Lab Ice Core &amp; Cold Reg Environm, 260 Donggang W Rd, Lanzhou 730000, Peoples R China.</t>
  </si>
  <si>
    <t>jwren@ns.lzb.ac.cn</t>
  </si>
  <si>
    <t>WOS:000232368400023</t>
  </si>
  <si>
    <t>Pruett, LE; Kreutz, KJ; Wadleigh, M; Mayewski, PA; Kurbatov, A</t>
  </si>
  <si>
    <t>Sulfur isotopic measurements from a West Antarctic ice core: implications for sulfate source and transport</t>
  </si>
  <si>
    <t>STRATOSPHERIC AEROSOL LAYER; MARINE BOUNDARY-LAYER; SEA-SALT SULFATE; ATMOSPHERIC SULFUR; SPATIAL VARIABILITY; SOUTH-POLE; METHANESULFONIC-ACID; SURFACE SNOW; ACCUMULATION; CLIMATE</t>
  </si>
  <si>
    <t>Measurements of delta S-34 covering the years 1935-76 and including the 1963 Agung (Indonesia) eruption were made on a West Antarctic firn core, RIDSA (78.73 degrees S, 116.33 degrees W; 1740m a.s.l.), and results are used to unravel potential source functions in the sulfur cycle over West Antarctica. The delta S-34 values Of SO42- range from 3.1 parts per thousand to 9.9 parts per thousand. These values are lower than those reported for central Antarctica, from near South Pole station, of 9.3-18.1 parts per thousand (Patris and others, 2000). While the Agung period is isotopically distinct at South Pole, it is not in the RIDSA dataset, suggesting differences in the source associations for the sulfur cycle between these two regions. Given the relatively large input of marine aerosols at RIDSA (determined from Na+ data and the seasonal SO42- cycle), there is likely a large marine biogenic SO42- influence. The delta S-34 values indicate, however, that this marine biogenic SO42-, with a well-established delta S-34 of 18 parts per thousand, is mixing with SO42- that has extremely negative delta S-34 values to produce the measured isotope values in the RIDSA core. We suggest that the transport and deposition of stratospheric SO42- in West Antarctica, combined with local volcanic input, accounts for the observed variance in delta S-34 values.</t>
  </si>
  <si>
    <t>Univ Maine, Climate Change Inst, Orono, ME 04468 USA; Univ Maine, Dept Earth Sci, Orono, ME 04468 USA; Mem Univ Newfoundland, Dept Earth Sci, St John, NF A1B 3X5, Canada</t>
  </si>
  <si>
    <t>University of Maine System; University of Maine Orono; University of Maine System; University of Maine Orono; Memorial University Newfoundland</t>
  </si>
  <si>
    <t>Pruett, LE (corresponding author), Univ Maine, Climate Change Inst, Orono, ME 04468 USA.</t>
  </si>
  <si>
    <t>Karl.Kreutz@maine.edu</t>
  </si>
  <si>
    <t>Mayewski, Paul Andrew/HRD-6969-2023</t>
  </si>
  <si>
    <t>Kurbatov, Andrei/0000-0002-9819-9251</t>
  </si>
  <si>
    <t>10.3189/172756404781814339</t>
  </si>
  <si>
    <t>WOS:000232368400024</t>
  </si>
  <si>
    <t>Vallelonga, P; Barbante, C; Cozzi, G; Gaspari, V; Candelone, JP; Van de Velde, K; Morgan, VI; Rosman, KJR; Boutron, CF; Cescon, P</t>
  </si>
  <si>
    <t>Elemental indicators of natural and anthropogenic aerosol inputs to Law Dome, Antarctica</t>
  </si>
  <si>
    <t>HEAVY-METALS; LEAD ISOTOPES; ICE CORES; GREENLAND SNOW; TRACE-METALS; SUBPICOGRAM; EMISSIONS; POLLUTION; RECORD; AD</t>
  </si>
  <si>
    <t>A selection of elements (Bi, Ca, Cd, Co, Cu, Mn, Na, Sr, U, V, Zn) were measured by high-resolution inductively coupled plasma sector-field mass spectrometry in firn- and ice-core samples from Law Dome, Antarctica, corresponding to the period 4500 BC to AD 1989. Concentrations of rock dust and sea salts were calculated for each sample and then used to determine concentrations of each element originating from crustal and marine aerosol emissions, respectively. Where calculated contributions from crustal and marine aerosol sources failed to account for the total measured concentration of an element, the remainder was apportioned to volcanic and/or anthropogenic sources and defined as an enrichment. On this basis, it was determined that Bi and Cd concentrations in Law Dome ice are overwhelmingly influenced by volcanic emissions (enrichments 150-250x crustal and marine inputs); Co, Cu, Pb and Zn concentrations in Law Dome ice are largely influenced by volcanic emissions (enrichments 16-36x crustal and marine inputs); and Mn, Sr, U and V concentrations in Law Dome ice are minimally influenced by volcanic emissions (enrichments 1.5-4x crustal and marine inputs). During the 20th century, enrichments of Pb and Cu concentrations were observed to be greater than in earlier centuries, consistent with increasing anthropogenic emissions of Pb and Cu in the Southern Hemisphere over that period.</t>
  </si>
  <si>
    <t>Curtin Univ Technol, Dept Appl Phys, Perth, WA 6845, Australia; Univ Venice, Dept Environm Sci, I-30123 Venice, Italy; Univ Venice, Inst Dynam Environm Proc, CNR, I-30123 Venice, Italy; Antarctic CRC, Hobart, Tas 7001, Australia; Australian Antarctic Div, Hobart, Tas 7001, Australia; Lab Glaciol &amp; Geophys Environm, CNRS, F-38402 St Martin Dheres, France</t>
  </si>
  <si>
    <t>Curtin University; Universita Ca Foscari Venezia; Universita Ca Foscari Venezia; Consiglio Nazionale delle Ricerche (CNR); Istituto per la Dinamica dei Processi Ambientali (IDPA-CNR); Australian Antarctic Division; Centre National de la Recherche Scientifique (CNRS)</t>
  </si>
  <si>
    <t>Curtin Univ Technol, Dept Appl Phys, Box U 1987, Perth, WA 6845, Australia.</t>
  </si>
  <si>
    <t>p.vallelonga@curtin.edu.au</t>
  </si>
  <si>
    <t>Cozzi, Giulio/R-4554-2019; Barbante, Carlo/B-3195-2011; Cozzi, Giulio/F-6473-2010; Vallelonga, Paul/I-9650-2016</t>
  </si>
  <si>
    <t>Cozzi, Giulio/0000-0001-8796-4176; Vallelonga, Paul/0000-0003-1055-7235; Barbante, Carlo/0000-0003-4177-2288; Cescon, Paolo/0000-0003-1836-6759</t>
  </si>
  <si>
    <t>10.3189/172756404781814483</t>
  </si>
  <si>
    <t>WOS:000232368400025</t>
  </si>
  <si>
    <t>Pohjola, VA; Hedfors, J; Holmlund, P</t>
  </si>
  <si>
    <t>Investigating the potential to determine the upstream accumulation rate, using mass-flux calculations along a cross-section on a small tributary glacier in Heimefrontfjella, Dronning Maud Land, Antarctica</t>
  </si>
  <si>
    <t>ICE-SHEET; WEST ANTARCTICA; EAST ANTARCTICA; FORCE BUDGET; FLOW; BALANCE; SNOW</t>
  </si>
  <si>
    <t>How well can we estimate the incoming ice flux by calculating the ice flux through a well-defined cross-section? We test this by comparing calculated ice flux out from the small glacier Bonnevie-Svendsenbreen with the measured accumulation rate integrated over the well-defined catchment area in the Sivorgfjella plateau, Dronning Maud Land, Antarctica (74 degrees 45'S, 11 degrees 10'W). The ice flux is calculated using ice-dynamical properties from an ice temperature model and the distribution of forces calculated using a force-budget model. The input we use includes velocity data of the glacier surface, combined with ice-thickness measurements. The result is an accumulation rate on the Sivorgfiella plateau of 0.50 +/- 0.05m w.e.a(-1). We find that this is similar to the accumulation rate recorded by ground-penetrating radar work in the area. We therefore find the balance-flow method, in combination with the force-budget technique and ice temperature modeling, to be a useful tool for studies of mass fluxes in a catchment area. The most important source of uncertainty in these calculations is the quality and the spatial distribution of the ice surface velocity data. The high accumulation rate shows the effect of orographic enhancement on accumulation in montane areas in Antarctica.</t>
  </si>
  <si>
    <t>Uppsala Univ, Dept Earth Sci, S-75236 Uppsala, Sweden; Stockholm Univ, Dept Phys Geog &amp; Quaternary Geol, S-10691 Stockholm, Sweden</t>
  </si>
  <si>
    <t>Uppsala University; Stockholm University</t>
  </si>
  <si>
    <t>Pohjola, VA (corresponding author), Uppsala Univ, Dept Earth Sci, Villavagen 16, S-75236 Uppsala, Sweden.</t>
  </si>
  <si>
    <t>veijo.pohjola@geo.uu.se</t>
  </si>
  <si>
    <t>pohjola, veijo/0000-0001-6851-1673</t>
  </si>
  <si>
    <t>10.3189/172756404781814555</t>
  </si>
  <si>
    <t>WOS:000232368400026</t>
  </si>
  <si>
    <t>Qin, DH; Xiao, CD; Ian, A; Bian, LG; Ren, JW; Yan, M</t>
  </si>
  <si>
    <t>Snow surface height variations on the Antarctic ice sheet in Princess Elizabeth Land, Antarctica: 1 year of data from an automatic weather station</t>
  </si>
  <si>
    <t>DRONNING MAUD LAND; EAST ANTARCTICA; POLAR PLATEAU; MASS-BALANCE; ACCUMULATION; SUBLIMATION</t>
  </si>
  <si>
    <t>The net surface snow accumulation on the Antarctic ice sheet is determined by a combination of precipitation, sublimation and wind redistribution. We present a 1 year record of hourly snow-height measurements that shows its seasonal variability. The measurements were made with an ultrasonic sensor mounted on an automatic weather station (AWS) installed at LGB69, Princess Elizabeth Land, Antarctica (70.835 degrees S, 77.075 degrees E; 1850 m a.s.l.). The average accumulation at this site is approximately 0.70 m snow a(-1). Throughout the winter, between April and September, there was little change in surface snow height. The strongest accumulation occurred during the period October-March, with four episodic increases occurring during 2002. These episodic events coincided with obvious humidity 'pulses' and decreases of incoming solar radiation as recorded by the AWS. Observations of the total cloud amount at Davis station, 160 km north-northeast of LGB69, showed good correlation with major accumulation events recorded at LGB69. There was an obvious anticorrelation between the lowest cloud height at Davis and the daily accumulation rate at LGB69. Although there was no correlation over the total year between wind speed and accumulation at LGB69, large individual accumulation events are associated with episodes of strong wind. Strong accumulation events at LGB69 are associated with major storms in the region and inland transport of moist air masses from the coast.</t>
  </si>
  <si>
    <t>Chinese Acad Sci, Lab Ice Core &amp; Cold Reg Environm, Cold &amp; Arid Reg Environm &amp; Engn Inst, Lanzhou 730000, Peoples R China; Peking Univ, Coll Phys, Beijing 100871, Peoples R China; Australian Antarctic Div &amp; Antarctic Climate &amp; Ec, Hobart, Tas 7001, Australia; Chinese Acad Meteorol Sci, Beijing 100081, Peoples R China; Polar Res Inst China, Shanghai 200129, Peoples R China</t>
  </si>
  <si>
    <t>Chinese Academy of Sciences; Cold &amp; Arid Regions Environmental &amp; Engineering Research Institute, CAS; Peking University; Australian Antarctic Division; China Meteorological Administration; Chinese Academy of Meteorological Sciences (CAMS); Polar Research Institute of China</t>
  </si>
  <si>
    <t>Qin, DH (corresponding author), Chinese Acad Sci, Lab Ice Core &amp; Cold Reg Environm, Cold &amp; Arid Reg Environm &amp; Engn Inst, Lanzhou 730000, Peoples R China.</t>
  </si>
  <si>
    <t>cdxiao@cams.cma.gov.cn</t>
  </si>
  <si>
    <t>WOS:000232368400027</t>
  </si>
  <si>
    <t>Xiao, CD; Allison, I; Ren, JW; Qin, DH; Zhang, MJ; Li, ZQ</t>
  </si>
  <si>
    <t>Meteorological and glaciological evidence for different climatic variations on the east and west sides of the Lambert Glacier basin, Antarctica</t>
  </si>
  <si>
    <t>DRONNING-MAUD-LAND; SNOW-ACCUMULATION; SOUTHERN-OCEAN; MASS-BALANCE; WILKES LAND; ICE CORES; LAW DOME; TEMPERATURE; INTERIOR; STATION</t>
  </si>
  <si>
    <t>Surface mass-balance studies and climatic records from firn cores show remarkable differences between the east and west sides of the Lambert Glacier basin (LGB). The spatial distribution of the surface accumulation is influenced by the atmospheric moisture flux, and by the surface wind field, which is largely determined by topography. Atmospheric water-vapor budget data for the ice-sheet sector covering the basin (45-90 degrees E) show that on the east side of the LGR the moisture flux is poleward, averaging 18 kg m(-1)s(-1) in 1988, while for the west side it is Equatorward, averaging 5 kg m(-1)s(-1). A similar pattern, but with much lower transport of vapor flux, is seen across 70 degrees S. Two firn cores from the east side of the basin and two from the west side were analyzed to determine accumulation-rate and temperature-proxy variations for the past 50 years. The trends were opposite on the different sides of the basin. Similar opposing trends are seen in meteorological records from Davis and Mawson coastal stations, situated on the east and west sides of the LGB respectively. There is a good correlation between the accumulation/O-18 record in ice cores from the eastern LGB and the sea-level pressure (obtained from the US National Centers for Environmental Prediction/US National Center for Atmospheric Research (NCEP/NCAR) re-analyses) of a Southern Indian Ocean low (SIOL), but not between the SIOL and the records from the western LGB. This study reveals that variations in local circulation could alter at least the annual to decadal time-scale climate records, and may result in completely different climate histories between adjacent areas.</t>
  </si>
  <si>
    <t>Peking Univ, Coll Phys, Beijing 100871, Peoples R China; Australian Antarctic Div &amp; Antartic Climate &amp; Eco, Hobart, Tas 7001, Australia; Chinese Acad Sci, Key Lab Ice Core &amp; Cold Reg Environm, Cold &amp; Arid Reg Environm &amp; Engn Res, Lanzhou 730000, Peoples R China</t>
  </si>
  <si>
    <t>Peking University; Australian Antarctic Division; Chinese Academy of Sciences; Cold &amp; Arid Regions Environmental &amp; Engineering Research Institute, CAS</t>
  </si>
  <si>
    <t>Chinese Acad Meteorol Sci, 46 Zhongguancun S Ave, Beijing 100081, Peoples R China.</t>
  </si>
  <si>
    <t>Allison, Ian F/I-4477-2015</t>
  </si>
  <si>
    <t>Allison, Ian F/0000-0001-9599-0251; Zhang, Mingjun/0000-0002-7977-9509</t>
  </si>
  <si>
    <t>WOS:000232368400028</t>
  </si>
  <si>
    <t>Arcone, SA; Spikes, VB; Hamilton, GS; Mayewski, PA</t>
  </si>
  <si>
    <t>Stratigraphic continuity in 400 MHz short-pulse radar profiles of firn in West Antarctica</t>
  </si>
  <si>
    <t>ICE; ACCUMULATION; PROJECT</t>
  </si>
  <si>
    <t>We track dated firn horizons within 400 MHz short-pulse radar profiles to find the continuous extent over which they can be used as historical benchmarks to study past accumulation rates in West Antarctica. The 30-40 cm pulse resolution compares with the accumulation rates of most areas. We tracked a particular set that varied from 30 to 90 m in depth over a distance of 600 km. The main limitations to continuity are fading at depth, pinching associated with accumulation rate differences within hills and valleys, and artificial fading caused by stacking along dips. The latter two may be overcome through multi-kilometer distances by matching the relative amplitude and spacing of several close horizons, along with their pulse forms and phases. Modeling of reflections from thin layers suggests that the - 37 to - 50 dB range of reflectivity and the pulse waveforms we observed are caused by the numerous thin ice layers observed in core stratigraphy. Constructive interference between reflections from these close, high-density layers can explain the maintenance of reflective strength throughout the depth of the firn despite the effects of compaction. The continuity suggests that these layers formed throughout West Antarctica and possibly into East Antarctica as well.</t>
  </si>
  <si>
    <t>USA, Cold Reg Res &amp; Engn Lab, Ctr Res Dev &amp; Engn, Hanover, NH 03755 USA; Univ Maine, Climate Change Inst, Orono, ME 04469 USA</t>
  </si>
  <si>
    <t>United States Department of Defense; United States Army; U.S. Army Corps of Engineers; U.S. Army Engineer Research &amp; Development Center (ERDC); Cold Regions Research &amp; Engineering Laboratory (CRREL); University of Maine System; University of Maine Orono</t>
  </si>
  <si>
    <t>Arcone, SA (corresponding author), USA, Cold Reg Res &amp; Engn Lab, Ctr Res Dev &amp; Engn, 72 Lyme Rd, Hanover, NH 03755 USA.</t>
  </si>
  <si>
    <t>Steven.A.Arcone@erdc.usace.army.mil</t>
  </si>
  <si>
    <t>10.3189/172756404781813925</t>
  </si>
  <si>
    <t>WOS:000232368400029</t>
  </si>
  <si>
    <t>Diolaiuti, G; Smiraglia, C; Vassena, G; Motta, M</t>
  </si>
  <si>
    <t>Dry calving processes at the ice cliff of Strandline Glacier, northern Victoria Land, Antarctica</t>
  </si>
  <si>
    <t>VALLEYS</t>
  </si>
  <si>
    <t>This paper describes seasonal variations on Strandline Glacier, Terra Nova Bay, northern Victoria Land, Antarctica, obtained from measurements during two field campaigns (2000/01 and 2002/03). By applying different methodologies and techniques, it was possible to calculate summer changes in thickness (mean decrease over the whole glacier surface of 0.04 m w.e.) and in volume (decrease of 352 m(3) at the terminus). This serves to identify and quantify the processes responsible for these variations (e.g. melting, evaporation, wind erosion/deposition and calving) and to understand the energy transfers at the glacier-air interface. One particular feature of the glacier is the presence of an ice cliff at the terminus, which causes ablation owing to dry calving. This process brought about a summer retreat rate of 1 m week(-1) in the central part of the front during the study period. Qualitative observations carried out during previous field campaigns and quantitative analysis performed during the last two expeditions have provided an understanding of the mechanism underlying the ablation processes, thus confirming the available literature on this topic.</t>
  </si>
  <si>
    <t>Univ Milan, Dept Earth Sci Ardito Desio, I-20133 Milan, Italy; Univ Brescia, Dept Civil Engn, I-25123 Brescia, Italy; Univ Turin, Dept Earth Sci, I-10123 Turin, Italy</t>
  </si>
  <si>
    <t>University of Milan; University of Brescia; University of Turin</t>
  </si>
  <si>
    <t>Diolaiuti, G (corresponding author), Univ Milan, Dept Earth Sci Ardito Desio, Via Mangiagalli 34, I-20133 Milan, Italy.</t>
  </si>
  <si>
    <t>guglielmina.diolaiuti@unimi.it</t>
  </si>
  <si>
    <t>Diolaiuti, Guglielmina/A-9422-2008; Motta, Michele/KCK-2864-2024; Vassena, Giorgio Paolo Maria GV/F-4559-2016</t>
  </si>
  <si>
    <t>Diolaiuti, Guglielmina/0000-0002-3883-9309; Vassena, Giorgio Paolo Maria GV/0000-0002-2249-8853; Smiraglia, Claudio/0000-0001-6635-2074</t>
  </si>
  <si>
    <t>10.3189/172756404781813880</t>
  </si>
  <si>
    <t>WOS:000232368400030</t>
  </si>
  <si>
    <t>Skvarca, P; De Angelis, H; Ermolin, E</t>
  </si>
  <si>
    <t>Mass balance of 'Glaciar Bahia del Diablo', Vega Island, Antarctic Peninsula</t>
  </si>
  <si>
    <t>ICE SHELVES</t>
  </si>
  <si>
    <t>Given the pronounced atmospheric warming recorded in recent decades on the Antarctic Peninsula (AP), knowledge of glacier mass balance in this region is especially important for assessing the impact of climatic warming on ice masses. 'Glaciar Bahia del Diablo' (GBD) on Vega Island, northeastern AP, is a glacier that terminates on land, so its mass balance is directly linked to climate. GBD is a polythermal outlet glacier, 14.3 km(2) in area with an accumulation-area ratio of 0.39. Increased ablation rates and glacier thinning motivated us to select GBD as a test site for mass-balance studies within the region. Calculations based on the stratigraphic annual method yielded a mean annual loss of 0.32 rn w.e. a(-1) for the annual net mass balance (b(n)) between 1999 and 2003. A strong correlation was observed between bn and mean summer temperatures, confirming that GBD is highly sensitive to climate. The study of GBD aims at establishing a suitable reference database for ice-climate studies in a region of dramatic changes in Antarctica.</t>
  </si>
  <si>
    <t>Inst Antartico Argentino, Buenos Aires, DF, Argentina</t>
  </si>
  <si>
    <t>Instituto Antartico Argentino</t>
  </si>
  <si>
    <t>Inst Antartico Argentino, Cerrito 1248,C1010AAZ, Buenos Aires, DF, Argentina.</t>
  </si>
  <si>
    <t>glacio@dna.gov.ar</t>
  </si>
  <si>
    <t>De Angelis, Hernán/E-1352-2012; De Angelis, Hernán/AAD-9020-2019</t>
  </si>
  <si>
    <t>De Angelis, Hernán/0000-0002-8584-272X; De Angelis, Hernán/0000-0002-8584-272X</t>
  </si>
  <si>
    <t>10.3189/172756404781814672</t>
  </si>
  <si>
    <t>WOS:000232368400031</t>
  </si>
  <si>
    <t>Hamilton, GS</t>
  </si>
  <si>
    <t>Topographic control of regional accumulation rate variability at South Pole and implications for ice-core interpretation</t>
  </si>
  <si>
    <t>DRONNING MAUD LAND; SNOW ACCUMULATION; MASS-BALANCE; ANTARCTICA; DEPTHS; SHEET</t>
  </si>
  <si>
    <t>Snow-accumulation rates are known to be sensitive to local changes in ice-sheet surface slope because of the effect of katabatic winds. These topographic effects can be preserved in ice cores that are collected at non-ice-divide locations. The trajectory of an ice-core site at South Pole is reconstructed using measurements of ice-sheet motion to show that snow was probably deposited at places of different surface slope during the past 1000 years. Recent accumulation rates, derived from shallow firn cores, vary along this trajectory according to surface topography, so that on a relatively steep flank mean annual accumulation is similar to 18% smaller than on a nearby topographic depression. These modern accumulation rates are used to reinterpret the cause of accumulation rate variability with time in the long ice-core record as an ice-dynamics effect and not a climate-change signal. The results highlight the importance of conducting ancillary ice-dynamics measurements as part of ice-coring programs so that topographic effects can be deconvolved from potential climate signals.</t>
  </si>
  <si>
    <t>Univ Maine, Climate Change Inst, Orono, ME 04469 USA</t>
  </si>
  <si>
    <t>Hamilton, GS (corresponding author), Univ Maine, Climate Change Inst, Orono, ME 04469 USA.</t>
  </si>
  <si>
    <t>gordon.hamilton@maine.edu</t>
  </si>
  <si>
    <t>Hamilton, Gordon S/G-1679-2011</t>
  </si>
  <si>
    <t>10.3189/172756404781814050</t>
  </si>
  <si>
    <t>WOS:000232368400032</t>
  </si>
  <si>
    <t>Kaleschke, L; Heygster, G</t>
  </si>
  <si>
    <t>Towards multi-sensor microwave remote sensing of frost flowers on sea ice</t>
  </si>
  <si>
    <t>BACKSCATTER; DEPLETION; SNOW; BRO</t>
  </si>
  <si>
    <t>It has been hypothesized that frost flowers could be important for tropospheric chemistry and, as a source of sea-salt aerosol, for the interpretation of ice-core data. Furthermore, frost flowers can cause severe errors in sea-ice products derived from remote-sensing data. Up to now there have been few datasets available relating frost-flower distribution and variability in the sea-ice-covered regions. We present a method for frost-flower detection using a combination of active and passive microwave sensors. The vertical polarized C-band radar backscatter of a young sea-ice region covered with frost flowers can be higher than the signal from multi-year ice or from the wind-roughened ocean. Therefore, the classification result of synthetic aperture radar (SAR) sea-ice images can be defective due to the influence of frost flowers. The ambiguity of the open-water and frost-flower backscatter signal was successfully resolved using additional information from the 85 GHz Special Sensor Microwave/ Imager (SSM/I) channels. Results of the method were compared to aircraft measurements and observations in the marginal ice zone near Svalbard.</t>
  </si>
  <si>
    <t>Inst Environm Phys, D-28334 Bremen, Germany</t>
  </si>
  <si>
    <t>Inst Environm Phys, POB 330440, D-28334 Bremen, Germany.</t>
  </si>
  <si>
    <t>lars@seaice.de</t>
  </si>
  <si>
    <t>Heygster, Georg/0000-0003-2232-7429; Kaleschke, Lars/0000-0001-7086-3299</t>
  </si>
  <si>
    <t>10.3189/172756404781814267</t>
  </si>
  <si>
    <t>WOS:000232368400033</t>
  </si>
  <si>
    <t>Brown, IC; Scambos, TA</t>
  </si>
  <si>
    <t>Satellite monitoring of blue-ice extent near Byrd Glacier, Antarctica</t>
  </si>
  <si>
    <t>SURFACE</t>
  </si>
  <si>
    <t>We use satellite images to track seasonal and interannual variations in blue-ice extent over the past 30 years near Byrd Glacier on the East Antarctic plateau. The study areas have low slope and few nearby nunataks, which may increase their climate sensitivity. A threshold-based algorithm sensitive to snow grain-size is used to analyze 56 Moderate Resolution Imaging Spectroradiometer (MODIS) images over three recent summer seasons. Seasonal blue-ice exposure grows rapidly in late spring, and peaks by late December. Exposure is relatively constant between late December and mid-January, then declines in February. We interpret this cycle as due to removal and re-accumulation of patchy snow. Interannual changes in blue-ice area may be estimated by tracking the near-constant summer maximum extent period. Fifteen mid-summer Landsat images, spanning 1974-2002, were analyzed to determine long-term variations. Interannual area changes are 10-30%; however, the MODIS data revealed that the exposed blue-ice area can be sharply reduced for up to 2 weeks after a snowfall event; and in the 2001/02 season, patchy snow cover persisted for the entire summer. The combination of MODIS seasonal and Landsat interannual data indicates that blue-ice areas can be climate-sensitive. The strong feedback between snow cover and surface energy balance implies that blue-ice areas could rapidly decrease due to climate-related increases in snowfall or reduced ablation.</t>
  </si>
  <si>
    <t>Univ Colorado, Natl Snow &amp; Ice Data Ctr, CIRES, Boulder, CO 80309 USA</t>
  </si>
  <si>
    <t>University of Colorado System; University of Colorado Boulder</t>
  </si>
  <si>
    <t>Univ Colorado, Natl Snow &amp; Ice Data Ctr, CIRES, Boulder, CO 80309 USA.</t>
  </si>
  <si>
    <t>teds@icehouse.colorado.edu</t>
  </si>
  <si>
    <t>Scambos, Ted A/B-1856-2009</t>
  </si>
  <si>
    <t>SCAMBOS, Ted A./0000-0003-4268-6322</t>
  </si>
  <si>
    <t>10.3189/172756404781813871</t>
  </si>
  <si>
    <t>WOS:000232368400034</t>
  </si>
  <si>
    <t>Rignot, E; Thomas, RH; Kanagaratnam, P; Casassa, G; Frederick, E; Gogineni, S; Krabill, W; Rivera, A; Russell, R; Sonntag, J; Swift, R; Yungel, J</t>
  </si>
  <si>
    <t>Improved estimation of the mass balance of glaciers draining into the Amundsen Sea sector of West Antarctica from the CECS/NASA 2002 campaign</t>
  </si>
  <si>
    <t>PINE-ISLAND GLACIER; GREENLAND ICE-SHEET; THWAITES GLACIER; POLAR ICE; SHELF; THICKNESS; OCEAN</t>
  </si>
  <si>
    <t>In November-December 2002, a joint airborne experiment by Centro de Estudios Cientificos and NASA flew over the Antarctic ice sheet to collect laser altimetry and radio-echo sounding data over glaciers flowing into the Amundsen Sea. A P-3 aircraft on loan from the Chilean Navy made four flights over Pine Island, Thwaites, Pope, Smith and Kohler glaciers, with each flight yielding 1.5-2 hours of data. The thickness measurements reveal that these glaciers flow into deep troughs, which extend far inland, implying a high potential for rapid retreat. Interferometric synthetic aperture radar data (InSAR) and satellite altimetry data from the European Remote-sensing Satellites (ERS-1/-2) show rapid grounding-line retreat and ice thinning of these glaciers. Using the new thickness data, we have re-evaluated glacier fluxes and the present state of mass balance, which was previously estimated using ice thicknesses deduced largely from inversion of elevation data assuming hydrostatic equilibrium. The revised total ice discharge of 241 5 km(3) a(-1) exceeds snow accumulation by 81 +/- 17 km(3) a(-1) of ice, equivalent to a sea-level rise of 0.21 +/- 0.04 mm a(-1). This magnitude of ice loss is too large to be caused by atmospheric forcing and implies dynamic thinning of the glaciers. This is confirmed by ice-flow acceleration observed with InSAR. We attribute the flow acceleration and ice thinning to enhanced bottom melting of the ice shelves by a warmer ocean, which reduces buttressing of the glaciers, and in turn accelerates them out of balance.</t>
  </si>
  <si>
    <t>CALTECH, Jet Prop Lab, Pasadena, CA 91109 USA; NASA, Wallops Flight Facil, EG&amp;G Serv, Wallops Isl, VA 23337 USA; Univ Kansas, Lawrence, KS 66045 USA; Ctr Estudios Cient, Valdivia, Chile</t>
  </si>
  <si>
    <t>National Aeronautics &amp; Space Administration (NASA); NASA Jet Propulsion Laboratory (JPL); California Institute of Technology; National Aeronautics &amp; Space Administration (NASA); NASA Goddard Space Flight Center; Wallops Flight Facility; University of Kansas</t>
  </si>
  <si>
    <t>CALTECH, Jet Prop Lab, 4800 Oak Grove Dr, Pasadena, CA 91109 USA.</t>
  </si>
  <si>
    <t>eric.rignot@jpl.nasa.gov</t>
  </si>
  <si>
    <t>Rignot, Eric/0000-0002-3366-0481; Rivera, Andres/0000-0002-2779-4192</t>
  </si>
  <si>
    <t>10.3189/172756404781813916</t>
  </si>
  <si>
    <t>WOS:000232368400035</t>
  </si>
  <si>
    <t>Spikes, VB; Hamilton, GS; Arcone, SA; Kaspari, S; Mayewski, PA</t>
  </si>
  <si>
    <t>Variability in accumulation rates from GPR profiling on the West Antarctic plateau</t>
  </si>
  <si>
    <t>DRONNING MAUD LAND; MASS-BALANCE; ICE STREAMS; SPATIAL-DISTRIBUTION; MODEL; SNOW</t>
  </si>
  <si>
    <t>lsochronal layers in firn detected with ground-penetrating radar (GPR) and dated using results from ice-core analyses are used to calculate accumulation rates along a 100 km across-flow profile in West Antarctica. Accumulation rates are shown to be highly variable over short distances. Elevation measurements from global positioning system surveys show that accumulation rates derived from shallow horizons correlate well with surface undulations, which implies that wind redistribution of snow is the leading cause of this variability. Temporal changes in accumulation rate over 25-185 year intervals are smoothed to along-track length scales comparable to surface undulations in order to identify trends in accumulation that are likely related to changes in climate. Results show that accumulation rates along this profile have decreased in recent decades, which is consistent with core-derived time series of annual accumulation rates measured at the two ends of the radar profile. These results suggest that temporal variability observed in accumulation-rate records from ice cores and GPR profiles can be obscured by spatial influences, although it is possible to resolve temporal signals if the effects of local topography and ice flow are quantified and removed.</t>
  </si>
  <si>
    <t>Univ Maine, Bryand Global Sci Ctr, Climate Change Inst, Orono, ME 04469 USA; Univ Maine, Bryand Global Sci Ctr, Dept Earth Sci, Orono, ME 04469 USA; USA, Cold Reg Res &amp; Engn Lab, Ctr Res Dev &amp; Engn, Hanover, NH 03755 USA</t>
  </si>
  <si>
    <t>University of Maine System; University of Maine Orono; University of Maine System; University of Maine Orono; United States Department of Defense; United States Army; U.S. Army Corps of Engineers; U.S. Army Engineer Research &amp; Development Center (ERDC); Cold Regions Research &amp; Engineering Laboratory (CRREL)</t>
  </si>
  <si>
    <t>Univ Maine, Bryand Global Sci Ctr, Climate Change Inst, Orono, ME 04469 USA.</t>
  </si>
  <si>
    <t>vbs@earthscienceagency.com</t>
  </si>
  <si>
    <t>Hamilton, Gordon S/G-1679-2011; Mayewski, Paul Andrew/HRD-6969-2023</t>
  </si>
  <si>
    <t>10.3189/172756404781814393</t>
  </si>
  <si>
    <t>WOS:000232368400036</t>
  </si>
  <si>
    <t>Ferrigno, JG; Williams, RS; Foley, KM</t>
  </si>
  <si>
    <t>Coastal-change and glaciological map of the Saunders Coast area, Antarctica: 1972-97</t>
  </si>
  <si>
    <t>MARIE BYRD LAND; ICE STREAMS; VELOCITY; GLACIER</t>
  </si>
  <si>
    <t>Satellite images from 1972 to 1997 have been used to prepare a map showing glaciological features of the Saunders Coast area, Antarctica. Analysis of the imagery shows a trend toward ice-front retreat that may be a result of changing environmental conditions.</t>
  </si>
  <si>
    <t>US Geol Survey, Reston, VA 20192 USA; US Geol Survey, Woods Hole Sci Ctr, Woods Hole, MA 02540 USA</t>
  </si>
  <si>
    <t>United States Department of the Interior; United States Geological Survey; United States Department of the Interior; United States Geological Survey</t>
  </si>
  <si>
    <t>Ferrigno, JG (corresponding author), US Geol Survey, 926A Natl Ctr, Reston, VA 20192 USA.</t>
  </si>
  <si>
    <t>jferrigno@usgs.gov</t>
  </si>
  <si>
    <t>williams, Ray/HSE-3267-2023</t>
  </si>
  <si>
    <t>10.3189/172756404781814285</t>
  </si>
  <si>
    <t>WOS:000232368400037</t>
  </si>
  <si>
    <t>Stosius, R; Herzfeld, UC</t>
  </si>
  <si>
    <t>Geostatistical estimation from radar altimeter data with respect to morphological units outlined by SAR data: application to Lambert Glacier/Amery Ice Shelf, East Antarctica</t>
  </si>
  <si>
    <t>SHEET; SURFACES; MODELS</t>
  </si>
  <si>
    <t>The objective of this paper is the comparison of two kriging methods, ordinary kriging and kriging within strata, for calculation of digital elevation models (DEMs) from radar altimeter data, and application to the Lambert Glacier/Amery Ice Shelf system, East Antarctica. Two new DEMs are presented. First, a DEM of the Lambert Glacier/Amery Ice Shelf system is calculated from 1997 European Remote-sensing Satellite-2 (ERS-2) radar altimeter (RA) data using geostatistical interpolation. RA data have high along-track density, but gaps between tracks are several kilometers, depending on the observation mode; this requires interpolation. Because the ice-stream/ice-shelf system is of primary interest in glaciological investigations, in the first approach a variogram characteristic of the Lambert Glacier ice surface is used. The resultant map has low errors for the glacier and the ice shelf. To match the surface characteristics of different morphological units that constitute the Lambert Glacier/Amery Ice Shelf region, a second DEM is constructed as follows: We utilize RADARSAT synthetic aperture radar (SAR) data that were collected in 1997 during the first Antarctic Imaging Campaign and composed into a 125 m backscatter-data mosaic by Jezek (1999) and we co-reference the 125 m mosaic with the altimetry-derived DEM. The Lambert Glacier/Amery Ice Shelf area is then subdivided into several regions which are homogeneous with respect to characteristic surface-morphological properties identified in the SAR mosaic. For those regions, a problem-oriented complex kriging method known as kriging within strata is performed, and the resulting DEM is compared to the DEM that was derived from kriging without regional subdivision.</t>
  </si>
  <si>
    <t>Univ Trier, Fachbereich Geog Geowissen, D-54286 Trier, Germany; Univ Colorado, Cooperat Inst Res Environm Sci, Natl Snow &amp; Ice Data Ctr, Boulder, CO 80309 USA</t>
  </si>
  <si>
    <t>Universitat Trier; University of Colorado System; University of Colorado Boulder</t>
  </si>
  <si>
    <t>Stosius, R (corresponding author), Univ Trier, Fachbereich Geog Geowissen, D-54286 Trier, Germany.</t>
  </si>
  <si>
    <t>stosius@denali.uni-trier.de</t>
  </si>
  <si>
    <t>Herzfeld, Ute/AAE-5115-2019</t>
  </si>
  <si>
    <t>Herzfeld, Ute/0000-0002-5694-4698</t>
  </si>
  <si>
    <t>10.3189/172756404781814159</t>
  </si>
  <si>
    <t>WOS:000232368400038</t>
  </si>
  <si>
    <t>Baroni, C; Frezzotti, M; Salvatore, MC; Meneghel, M; Tabacco, IE; Vittuari, L; Bondesan, A; Biasini, A; Cimbelli, A; Orombelli, G</t>
  </si>
  <si>
    <t>Antarctic geomorphological and glaciological 1:250000 map series:: Mount Murchison quadrangle, northern Victoria Land.: Explanatory notes</t>
  </si>
  <si>
    <t>TERRA-NOVA BAY; FIRN-CORE; LANDSCAPE EVOLUTION; SNOW COMPOSITION; EAST ANTARCTICA; GLACIER; SURFACES; REGION</t>
  </si>
  <si>
    <t>Geomorphological and glaciological features are represented on a georeferenced satellite image mosaic of the Mount Murchison quadrangle, northern Victoria Land, Antarctica (73-74 degrees S, 162-166 degrees 30'E), at a scale of 1:250000. Landforms and deposits of glacial and periglacial environments, forms related to mass wasting, wind action, weathering and geological structures are identified and mapped. The chronological sequence of landforms and deposits, morphography and lithology is also indicated. Glacier velocities (up to 180 m a(-1)) and ice-front fluctuations (1964-99) were determined by analysis of aerial photography and satellite imagery. Airborne radar surveys reveal that the greatest ice thickness (about 1500 m) is located in the grounding zone of Aviator Glacier. Up to 1000 m of ice bury the subglacial relief of Deception Plateau, Hercules Neve and the Deep Freeze Range. Snow accumulation rates (average = 170 kg m(-2) a(-1)) exhibit an overall negative correlation with altitude and distance from the coast. The relationships among relict erosional landforms and volcanic activity provide chronological constraints for the palaeogeographic evolution of this sector of the Transantarctic Mountains.</t>
  </si>
  <si>
    <t>Univ Pisa, Dipartimento Sci Terra, I-56126 Pisa, Italy; CNR, Ist Geosci &amp; Georisorse, I-56100 Pisa, Italy; ENEA, Progetto Clima, CR Casaccia, I-00060 Rome, Italy; Univ Roma La Sapienza, Dipartimento Sci Terra, I-00185 Rome, Italy; Univ Padua, Dipartimento Geografia G Morandini, I-35127 Padua, Italy; Univ Milan, Dipartimento Sci Terra, Sez Geofis, I-20129 Milan, Italy; Univ Bologna, DISART, I-40136 Bologna, Italy; Univ Milan, Dipartimento Sci Ambiente &amp; Terr, I-20126 Milan, Italy</t>
  </si>
  <si>
    <t>University of Pisa; Consiglio Nazionale delle Ricerche (CNR); Istituto di Geoscienze e Georisorse (IGG-CNR); Italian National Agency New Technical Energy &amp; Sustainable Economics Development; Sapienza University Rome; University of Padua; University of Milan; University of Bologna; University of Milan</t>
  </si>
  <si>
    <t>Univ Pisa, Dipartimento Sci Terra, Via S Maria 53, I-56126 Pisa, Italy.</t>
  </si>
  <si>
    <t>baroni@dst.unipi.it</t>
  </si>
  <si>
    <t>Salvatore, Maria Cristina/AAS-4000-2020; Vittuari, Luca/C-1606-2018; FREZZOTTI, Massimo/AAK-7275-2020; Baroni, Carlo/D-8184-2012; Bondesan, Aldino/AGG-7434-2022</t>
  </si>
  <si>
    <t>Salvatore, Maria Cristina/0000-0002-1590-7284; FREZZOTTI, Massimo/0000-0002-2461-2883; Baroni, Carlo/0000-0001-5905-4650; Vittuari, Luca/0000-0002-9815-1004; Bondesan, Aldino/0000-0002-8721-652X</t>
  </si>
  <si>
    <t>10.3189/172756404781814131</t>
  </si>
  <si>
    <t>WOS:000232368400039</t>
  </si>
  <si>
    <t>Rotschky, G; Eisen, O; Wilhelms, F; Nixdorf, U; Oerter, H</t>
  </si>
  <si>
    <t>Spatial distribution of surface mass balance on Amundsenisen plateau, Antarctica, derived from ice-penetrating radar studies</t>
  </si>
  <si>
    <t>DRONNING MAUD-LAND; PAST 2 KYR; POLAR ICE; ACCUMULATION RATES; FIRN CORES; SNOW; VARIABILITY; SHEETS</t>
  </si>
  <si>
    <t>The distribution of surface mass balance on Amundsenisen, Dronning Maud Land, Antarctica, is investigated along a continous profile line. Ice-penetrating radar is used to map variations in ice-layer thickness within the upper 100 m of the ice sheet. The route passes several firn- and ice-core drilling sites over a distance of 320 km. Dielectric-profiling data of ice cores are used to calculate the depths of selected reflection horizons and the cumulative mass of the ice column. The local surface mass balance is determined as a temporal average, covering a time-span of almost two centuries. The findings indicate a complex accumulation pattern superimposed on a generally low surface mass balance, which is related to small-scale surface undulations. The results of the radar soundings are in general in good agreement with surface mass-balance data derived from firn-core studies. Discrepancies between these two datasets can be explained by spatial mismatch or by minor quality of either ice-core profiles or radar data. For regional comparison of radar-based accumulation data we use an accumulation distribution interpolated from point measurements. The surface mass balance varies up to 50% over short distances, with correlation lengths of &lt;10 km. We conclude that the current utilization schemes of point sampling are only capable of reproducing local values and regional trends but provide no information on the small-scale variability of surface mass balance.</t>
  </si>
  <si>
    <t>Alfred Wegener Inst Polar &amp; Meeresforch, D-27515 Bremerhaven, Germany</t>
  </si>
  <si>
    <t>Rotschky, G (corresponding author), Alfred Wegener Inst Polar &amp; Meeresforch, Postfach 120161, D-27515 Bremerhaven, Germany.</t>
  </si>
  <si>
    <t>grotschky@awi-bremerhaven.de</t>
  </si>
  <si>
    <t>Wilhelms, Frank/KEI-8426-2024; Eisen, Olaf/K-3846-2012</t>
  </si>
  <si>
    <t>Wilhelms, Frank/0000-0001-7688-3135; Eisen, Olaf/0000-0002-6380-962X; Nixdorf, Uwe/0000-0002-6288-4361</t>
  </si>
  <si>
    <t>10.3189/172756404781814618</t>
  </si>
  <si>
    <t>WOS:000232368400040</t>
  </si>
  <si>
    <t>Genthon, C</t>
  </si>
  <si>
    <t>Space-time Antarctic surface mass-balance variability from climate models</t>
  </si>
  <si>
    <t>SNOW-ACCUMULATION; PRECIPITATION; CIRCULATION; FLUCTUATIONS</t>
  </si>
  <si>
    <t>The interannual to interdecadal variability and space-time statistics (including radius of decorrelation) of the Antarctic surface mass balance (SMB) are evaluated from climate models and meteorological analyses. At model resolution scales (&gt;100 km), the interannual relative standard deviation of precipitation ranges from similar to 5% (remotest interior) to similar to 40% and possibly more. Time variability is spatially coherent at distances of similar to 500 km on average, less than 300 km in the interior near ridges, but in excess of 700 km in some regions. As far as spatial distributions are concerned, interannual statistics can be broadly transposed to interdecadal time-scales. The amplitude of variability may also be extrapolated across time-scales, using a 'white' spectrum hypothesis according to one coupled ocean-atmosphere model, but a significantly 'red' spectrum hypothesis according to another. Surface sublimation and blowing-snow processes are estimated to have limited contributions to the statistics of the SMB at model-resolved scales. Precipitation statistics can thus largely be transposed to SMB. The information reported here is expected to be useful for defining the details of field programmes such as the International Trans-Antarctic Scientific Expedition (ITASE), for extrapolating the spatial significance of field SMB data and for better interpreting Antarctic ice-sheet surface elevation changes from satellite altimetry.</t>
  </si>
  <si>
    <t>CNRS, OSUG, Lab Glaciol &amp; Geophys Environm, F-38402 St Martin Dheres, Grenoble, France</t>
  </si>
  <si>
    <t>Centre National de la Recherche Scientifique (CNRS)</t>
  </si>
  <si>
    <t>Genthon, C (corresponding author), CNRS, OSUG, Lab Glaciol &amp; Geophys Environm, 54 Rue Moliere,BP 96, F-38402 St Martin Dheres, Grenoble, France.</t>
  </si>
  <si>
    <t>genthon@lgge.obs.ujf-grenoble.fr</t>
  </si>
  <si>
    <t>10.3189/172756404781814294</t>
  </si>
  <si>
    <t>WOS:000232368400041</t>
  </si>
  <si>
    <t>Rankin, AM; Wolff, EW; Mulvaney, R</t>
  </si>
  <si>
    <t>A reinterpretation of sea-salt records in Greenland and Antarctic ice cores?</t>
  </si>
  <si>
    <t>EAST ANTARCTICA; FROST FLOWERS; DOME-C; AEROSOL; DUST; CLIMATE; VARIABILITY; CHEMISTRY; SULFATE; MODEL</t>
  </si>
  <si>
    <t>It has recently been shown that much sea-salt aerosol around the coast of Antarctica is generated not from open water, but from the surface of newly formed sea ice. Previous interpretations of ice-core records have disregarded the sea-ice surface as a source of sea salt. The majority of sea-salt aerosol at Halley research station originates from frost flowers rather than open water, and the seasonal cycle of sea salt in aerosol at Halley appears to be controlled by ice production in the Weddell Sea, as well as variations in wind speed. Frost flowers are also an important source of aerosol at Siple Dome, suggesting that variations in sea-salt concentrations in the core, and other cores drilled in similar locations, may be reflecting changes in sea-ice production rather than changes in transportation patterns. For Greenland cores, and those from low-accumulation inland sites in Antarctica, it is not simple to calculate the proportion of sea salt originating from frost flowers rather than open water. However, modelling studies suggest that a sea-ice surface source contributed much of the flux of sea salt to these sites in glacial periods, suggesting that interpretations of ice-core records from these locations should also be revisited.</t>
  </si>
  <si>
    <t>ewwo@bas.ac.uk</t>
  </si>
  <si>
    <t>Wolff, Eric W/D-7925-2014; Mulvaney, Robert/K-3929-2012</t>
  </si>
  <si>
    <t>Wolff, Eric W/0000-0002-5914-8531; Mulvaney, Robert/0000-0002-5372-8148</t>
  </si>
  <si>
    <t>10.3189/172756404781814681</t>
  </si>
  <si>
    <t>WOS:000232368400042</t>
  </si>
  <si>
    <t>Salamatin, AN; Tsyganova, EA; Lipenkov, VY; Petit, JR</t>
  </si>
  <si>
    <t>Vostok (Antarctica) ice-core time-scale from datings of different origins</t>
  </si>
  <si>
    <t>LAKE VOSTOK; DEVILS-HOLE; STATION; TEMPERATURE; RECORD; AGE; CALCITE; ISOTOPE; CLIMATE; SHEET</t>
  </si>
  <si>
    <t>Three different approaches to ice-core age dating are employed to develop a depth-age relationship at Vostok, Antarctica: (1) correlating the ice-core isotope record to the geophysical metronome (Milankovich surface temperature cycles) inferred from the borehole temperature profile, (2) importing a known chronology from another (Devils Hole, Nevada, USA) paleoclimatic signal, and (3) direct ice-sheet flow modeling. Inverse Monte Carlo sampling is used to constrain the accumulation-rate reconstruction and ice-flow simulations in order to find the best-fit glaciological time-scale matched with the two other chronologies. The general uncertainty of the different age estimates varies from 2 to 6 kyr on average and reaches 6-15 kyr at maximum. Whatever the causes of this discrepancy might be, they are thought to be of different origins, and the age errors are assumed statistically independent. Thus, the average time-scale for the Vostok ice core down to 3350m depth is deduced consistent with all three dating procedures within the standard deviation limits of +/- 3.6kyr, and its accuracy is estimated as 2.2 kyr on average. The constrained ice-sheet flow model allows, at least theoretically, extrapolation of the ice age-depth curve further to the boundary with the accreted lake ice where (at 3530 m depth) the glacier-ice age may reach similar to 2000 kyr.</t>
  </si>
  <si>
    <t>Kazan VI Lenin State Univ, Dept Appl Math, Kazan 420008, Russia; Arctic &amp; Antarctic Res Inst, St Petersburg 199397, Russia; CNRS, Lab Glaciol &amp; Geophys Environm, F-38402 St Martin Dheres, France</t>
  </si>
  <si>
    <t>Kazan Federal University; Arctic &amp; Antarctic Research Institute; Centre National de la Recherche Scientifique (CNRS)</t>
  </si>
  <si>
    <t>Kazan VI Lenin State Univ, Dept Appl Math, Kazan 420008, Russia.</t>
  </si>
  <si>
    <t>Andrey.Salamatin@ksu.ru</t>
  </si>
  <si>
    <t>Lipenkov, Vladimir/Q-8262-2016; Salamatin, Andrey/A-9831-2016</t>
  </si>
  <si>
    <t>Lipenkov, Vladimir/0000-0003-4221-5440; Salamatin, Andrey/0000-0002-5988-6024</t>
  </si>
  <si>
    <t>10.3189/172756404781814023</t>
  </si>
  <si>
    <t>WOS:000232368400043</t>
  </si>
  <si>
    <t>Helsen, MM; Van de Wal, RSW; Van den Broeke, MR; Kerstel, ERT; Masson-Delmotte, V; Meijer, HAJ; Reijmer, CH; Scheele, MP</t>
  </si>
  <si>
    <t>Modelling the isotopic composition of snow using backward trajectories: a particular precipitation event in Dronning Maud Land, Antarctica</t>
  </si>
  <si>
    <t>GENERAL-CIRCULATION MODEL; SURFACE MASS-BALANCE; SPATIAL VARIABILITY; WATER ISOTOPES; TEMPERATURE; DELTA-O-18; DEUTERIUM; O-18; ACCUMULATION; CALIBRATION</t>
  </si>
  <si>
    <t>We consider a specific accumulation event that occurred in January 2002 in western Dronning Maud Land, Antarctica. Snow samples were obtained a few days after accumulation. We combine meteorological analyses and isotopic modelling to describe the isotopic composition of moisture during transport. Backward trajectories were calculated, based on European Centre for Medium-Range Weather Forecasts operational archive data so that the history of the air parcels transporting water vapour to the accumulation site could be reconstructed. This trajectory study showed that the air masses were not (super)saturated along most of the transport path, which is in contrast with assumptions in Lagrangian fractionation models and probably true for most precipitation events in Antarctica. The modelled fractionation along the trajectories was too limited to explain the measured isotopic content of the snow. It is shown that the observed isotopic composition of precipitation resulted from fractionation of initially more depleted water. This lower initial isotopic composition of water vapour might result from atmospheric mixing with more depleted air along the trajectory or from earlier condensation cycles, not captured by the trajectories. This is in accordance with isotope fields resulting from general circulation models, indicating a gradient in isotopic composition from the Equator to Antarctica.</t>
  </si>
  <si>
    <t>Univ Utrecht, Inst Marine &amp; Atmospher Res Utrecht, NL-3584 CC Utrecht, Netherlands; Ctr Isotope Res, NL-9747 AG Groningen, Netherlands; CEA, CNRS, UMR 1572, Lab Sci Climat &amp; Environm, F-91191 Gif Sur Yvette, France; Royal Netherlands Meteorol Inst, NL-3730 AE De Bilt, Netherlands</t>
  </si>
  <si>
    <t>Utrecht University; University of Groningen; Universite Paris Saclay; CEA; Centre National de la Recherche Scientifique (CNRS); Royal Netherlands Meteorological Institute</t>
  </si>
  <si>
    <t>Univ Utrecht, Inst Marine &amp; Atmospher Res Utrecht, POB 80005,Princetonpl 5, NL-3584 CC Utrecht, Netherlands.</t>
  </si>
  <si>
    <t>m.m.helsen@phys.uu.nl</t>
  </si>
  <si>
    <t>van de wal, roderik/D-1705-2011; Masson-Delmotte, Valerie L/G-1995-2011; Kerstel, Erik/AAG-3042-2020; Van den Broeke, Michiel R./F-7867-2011; Meijer, Harro A J/A-5787-2012; Reijmer, Carleen H/G-8736-2011</t>
  </si>
  <si>
    <t>van de wal, roderik/0000-0003-2543-3892; Masson-Delmotte, Valerie L/0000-0001-8296-381X; Kerstel, Erik/0000-0001-5325-7860; Van den Broeke, Michiel R./0000-0003-4662-7565; Reijmer, Carleen H/0000-0001-8299-3883; Meijer, Harro A.J./0000-0001-8744-5632</t>
  </si>
  <si>
    <t>10.3189/172756404781814230</t>
  </si>
  <si>
    <t>WOS:000232368400044</t>
  </si>
  <si>
    <t>Traversi, R; Barbante, C; Gaspari, V; Fattori, I; Largiuni, O; Magaldi, L; Udisti, R</t>
  </si>
  <si>
    <t>Aluminium and iron record for the last 28 kyr derived from the Antarctic EDC96 ice core using new CFA methods</t>
  </si>
  <si>
    <t>FLOW-INJECTION ANALYSIS; DOME-C; FLUOROMETRIC-DETERMINATION; MASS-SPECTROMETRY; PHYTOPLANKTON; DUST; CHROMATOGRAPHY; VARIABILITY; SUBSTANCES; IRON(III)</t>
  </si>
  <si>
    <t>Spectrofluorimetric and spectrophotometric continuous flow analysis (CFA) methods were developed and applied to the determination of aluminium and iron in EPICA Dome C (East Antarctica) ice-core samples (6-585 m depth). The methods are able to measure the fraction of Al and Fe which can be detected once the sample is filtered on a 5.0 mu m membrane and acidified to pH 2. Both the methods present high sensitivity (detection limit of 10 ng L-1 for Al and 50 ng L-1 for Fe) and reproducibility (5% at sub-ppb level). The Fe and Al profiles show sharp decreases in concentrations in the last glacial/interglacial transition, reflecting the decreasing dust aerosol load. The two elements show a different pattern during the Antarctic Cold Reversal (ACR) climatic change, with high iron concentrations (similar to the glacial period) and low but increasing Al content during the ACR minimum. In order to interpret the Al and Fe data obtained by CFA, a comparison with Al and Fe composition, as measured by inductively coupled plasma sector field mass spectrometry (ICP-SFMS), was performed for Holocene, ACR and glacial periods. The percentage of CFA-Al with respect to ICP-SFMS-Al in the three periods shows a lower variability than CFA-Fe (3% in the glacial period and 64% in the ACR). This pattern may be explained by the different dominant iron sources in the different climatic periods. During the Last Glacial Maximum, Fe is proposed to arise mainly from insoluble continental dust, while a variety of ocean-recycled Fe, mainly distributed in fine particles and as more soluble species, shows a higher contribution in the ACR and, to a lesser extent, in the Holocene.</t>
  </si>
  <si>
    <t>Univ Florence, Dept Chem, Sci Pole, I-50019 Florence, Italy; Univ Venice, Dept Environm Sci, I-30123 Venice, Italy; Univ Venice, Inst Dynam Environm Proc, I-30123 Venice, Italy</t>
  </si>
  <si>
    <t>University of Florence; Universita Ca Foscari Venezia; Universita Ca Foscari Venezia; Consiglio Nazionale delle Ricerche (CNR); Istituto per la Dinamica dei Processi Ambientali (IDPA-CNR)</t>
  </si>
  <si>
    <t>Traversi, R (corresponding author), Univ Florence, Dept Chem, Sci Pole, Via Lastruccia 3, I-50019 Florence, Italy.</t>
  </si>
  <si>
    <t>rita.traversi@unifi.it</t>
  </si>
  <si>
    <t>Barbante, Carlo/B-3195-2011; Udisti, Roberto/M-7966-2015; Traversi, Rita/M-7586-2015</t>
  </si>
  <si>
    <t>Udisti, Roberto/0000-0003-4440-8238; Becagli, Silvia/0000-0003-3633-4849; Barbante, Carlo/0000-0003-4177-2288; Traversi, Rita/0000-0002-9790-2195</t>
  </si>
  <si>
    <t>10.3189/172756404781814438</t>
  </si>
  <si>
    <t>WOS:000232368400045</t>
  </si>
  <si>
    <t>Oerter, H; Graf, W; Meyer, H; Wilhelms, F</t>
  </si>
  <si>
    <t>The EPICA ice core from Dronning Maud Land: first results from stable-isotope measurements</t>
  </si>
  <si>
    <t>DEUTERIUM EXCESS; ANTARCTICA; PRECIPITATION; RECORDS; ORIGIN; FIRN; SITE</t>
  </si>
  <si>
    <t>The European Project for ice Coring in Antarctica (EPICA) focuses on the drilling of two deep ice cores, the first at Dome C and the second at Kohnen station (75 degrees 00'S, 0 degrees 04'E) in Dronning Maud Land (DML). This paper deals with stable-isotope records from ice cores drilled in DML. In the first season, the deep EPICA DML core reached a depth of 450 m, recovering ice approximately 7000 years old. Generally, the delta O-18 record indicates a stable Holocene climate and shows low variability. However, during the last 4000 years (based on a preliminary time-scale) the delta O-18 values decrease continuously by about 0.6 parts per thousand and the deuterium excess values increase by about 0.5 parts per thousand. The correlation between delta O-18 and the deuterium excess d is investigated for a 50 m long core section and the near-surface snow. High-pass filtered profiles are positively correlated, whereas the correlation between low-pass filtered profiles is negative. A post-depositional effect due to diffusion processes can be seen in a sub-annually resolved profile from snow-pit samples. Changes in the seasonality of the evolution of the snow cover and the consequences for stable-isotope content are demonstrated with data from ice core B31.</t>
  </si>
  <si>
    <t>Alfred Wegener Inst Polar &amp; Marine Res, D-27515 Bremerhaven, Germany; GSF, Inst Groundwater Ecol, D-85764 Neuherberg, Germany; Alfred Wegener Inst Polar &amp; Marine Res, D-14473 Potsdam, Germany</t>
  </si>
  <si>
    <t>Helmholtz Association; Alfred Wegener Institute, Helmholtz Centre for Polar &amp; Marine Research; Helmholtz Association; Helmholtz-Center Munich - German Research Center for Environmental Health; Helmholtz Association; Alfred Wegener Institute, Helmholtz Centre for Polar &amp; Marine Research</t>
  </si>
  <si>
    <t>Alfred Wegener Inst Polar &amp; Marine Res, POB 120161, D-27515 Bremerhaven, Germany.</t>
  </si>
  <si>
    <t>hoerter@awi-bremerhaven.de</t>
  </si>
  <si>
    <t>Wilhelms, Frank/KEI-8426-2024; Meyer, Hanno/AAQ-4260-2021</t>
  </si>
  <si>
    <t>Wilhelms, Frank/0000-0001-7688-3135; Meyer, Hanno/0000-0003-4129-4706</t>
  </si>
  <si>
    <t>10.3189/172756404781814032</t>
  </si>
  <si>
    <t>WOS:000232368400046</t>
  </si>
  <si>
    <t>Drinkwater, MR; Francis, R; Ratier, G; Wingham, DJ</t>
  </si>
  <si>
    <t>The European space agency's earth explorer mission CryoSat: measuring variability in the cryosphere</t>
  </si>
  <si>
    <t>GREENLAND ICE-SHEET</t>
  </si>
  <si>
    <t>CryoSat is currently being prepared for a 2005 launch as the first European Space Agency Earth Explorer Opportunity mission. It is a dedicated cryospheric mission equipped with a Ku-band SIRAL (SAR/Interferometric Radar ALtimeter), whose primary objectives are to measure the variability and trends in the mass of the Arctic sea-ice cover and large terrestrial ice sheets. In this paper, an overview is provided of the mission and of the measurement characteristics of the new SIRAL instrument. Examples of data acquired on recent preparatory campaigns are presented, illustrating the operating characteristics of the key SIRAL modes. Preparatory plans for calibration and validation of CryoSat data are described.</t>
  </si>
  <si>
    <t>European Space Agcy, Earth Observ Programmes Directorate, NL-2200 AG Noordwijk, Netherlands; UCL, Ctr Polar Observ &amp; Modelling, London WC1E 6BT, England</t>
  </si>
  <si>
    <t>European Space Agency; University of London; University College London</t>
  </si>
  <si>
    <t>Drinkwater, MR (corresponding author), European Space Agcy, Earth Observ Programmes Directorate, Postbus 299, NL-2200 AG Noordwijk, Netherlands.</t>
  </si>
  <si>
    <t>mark.drinkwater@esa.int</t>
  </si>
  <si>
    <t>Drinkwater, Mark/C-2478-2011</t>
  </si>
  <si>
    <t>Drinkwater, Mark/0000-0002-9250-3806</t>
  </si>
  <si>
    <t>10.3189/172756404781814663</t>
  </si>
  <si>
    <t>WOS:000232368400047</t>
  </si>
  <si>
    <t>Forieri, A; Zuccoli, L; Bini, A; Zirizzotti, A; Remy, F; Tabacco, IE</t>
  </si>
  <si>
    <t>New bedrock map of Dome C, Antarctica, and morphostructural interpretation of the area</t>
  </si>
  <si>
    <t>ICE FLOW; RADAR</t>
  </si>
  <si>
    <t>A new bedrock map of the Dome C area is presented, based on all radar data collected during Italian Antarctic Expeditions in 1995, 1997, 1999 and 2001. The map clearly distinguishes the Dome C plateau, along with valleys and ridges. The plateau develops at three different altimetric levels, and its morphology is characterized by hills and closed depressions. There are no visible features which can be ascribed to glacial erosion or deposition. The major valley is 15 km wide and 500 m deep; its axis is parallel to that of other valleys and ridges in the plateau. The valley bottom is not flat, but contains a saddle at its centre. The morphology of the major valley may be considered a relict one which was not modified by the overlying ice cap. Two large ridges, characterized by hills, saddles and depressions, lie near the boundaries of the area. The map is used to recalculate ice thickness below the European Project for Ice Coring in Antarctica (EPICA) borehole. The new thickness is 3300 m, 50 m greater than before, implying that the expected palaeoclimate record from the ice core could extend back &gt;800 kyr.</t>
  </si>
  <si>
    <t>Univ Milan, Sez Geofis, I-20129 Milan, Italy; Univ Milan, Sez Geol, I-20133 Milan, Italy; Ist Nazl Geofis &amp; Vulcanol, I-00143 Rome, Italy; Univ Siena, Dipartimento Sci Terra, I-53100 Siena, Italy; Lab Etudes Geophys &amp; Oceanog Spatiales, F-31055 Toulouse, France</t>
  </si>
  <si>
    <t>University of Milan; University of Milan; Istituto Nazionale Geofisica e Vulcanologia (INGV); University of Siena; Universite de Toulouse; Universite Toulouse III - Paul Sabatier; Centre National de la Recherche Scientifique (CNRS); Institut de Recherche pour le Developpement (IRD); Laboratoire d'Etudes en Geophysique et oceanographie spatiales</t>
  </si>
  <si>
    <t>Forieri, A (corresponding author), Univ Milan, Sez Geofis, Via Cicognara 7, I-20129 Milan, Italy.</t>
  </si>
  <si>
    <t>alessandro.forieri@unimi.it</t>
  </si>
  <si>
    <t>Zirizzotti, Achille/HKE-0592-2023</t>
  </si>
  <si>
    <t>Zirizzotti, Achille/0000-0001-7586-9219</t>
  </si>
  <si>
    <t>10.3189/172756404781814456</t>
  </si>
  <si>
    <t>WOS:000232368400048</t>
  </si>
  <si>
    <t>Vieli, GJMCL; Siegert, MJ; Payne, AJ</t>
  </si>
  <si>
    <t>Reconstructing ice-sheet accumulation rates at ridge B, East Antarctica</t>
  </si>
  <si>
    <t>Understanding how ice sheets responded to past climate change is fundamental to forecasting how they will respond in the future. Numerical models calculating the evolution of ice sheets depend upon accumulation data, which are principally available from ice cores. Here, we calculate past rates of ice accumulation using internal layering. The englacial structure of the East Antarctic ice divide at ridge B is extracted from airborne ice-penetrating radar. The isochronous surfaces are dated at their intersection with the Vostok ice-core site, where the depth-age relationship is known. The dated isochrons are used as input to a one-dimensional ice-flow model to investigate the spatial accumulation distribution. The calculations show that ice-accumulation rates generally increase from Vostok lake towards ridge B. The western flank of the ice divide experiences markedly more accumulation than in the east. Further, ice accumulation increases northwards along the ice divide. The results also show the variability of accumulation in time and space around the ridge B ice divide over the last 124 000 years.</t>
  </si>
  <si>
    <t>Univ Bristol, Sch Geog Sci, Bristol Glaciol Ctr, Bristol BS8 1SS, Avon, England; Univ Bristol, Sch Geog Sci, Ctr Polar Observ &amp; Modelling, Bristol BS8 1SS, Avon, England</t>
  </si>
  <si>
    <t>University of Bristol; University of Bristol</t>
  </si>
  <si>
    <t>g.leysinger-vieli@bristol.ac.uk</t>
  </si>
  <si>
    <t>Siegert, Martin/M-9939-2019; Siegert, Martin J/A-3826-2008; payne, antony/A-8916-2008</t>
  </si>
  <si>
    <t>Siegert, Martin/0000-0002-0090-4806; Siegert, Martin J/0000-0002-0090-4806; payne, antony/0000-0001-8825-8425</t>
  </si>
  <si>
    <t>NERC [cpom10001] Funding Source: UKRI; Natural Environment Research Council [cpom10001] Funding Source: researchfish</t>
  </si>
  <si>
    <t>10.3189/172756404781814519</t>
  </si>
  <si>
    <t>WOS:000232368400049</t>
  </si>
  <si>
    <t>Jacka, TH; Budd, WF; Holder, A</t>
  </si>
  <si>
    <t>A further assessment of surface temperature changes at stations in the Antarctic and Southern Ocean, 1949-2002</t>
  </si>
  <si>
    <t>LARSEN ICE SHELF; CLIMATE-CHANGE; PENINSULA; COLLAPSE; RETREAT</t>
  </si>
  <si>
    <t>Statistical analyses are carried out, of the annual mean surface air temperature at occupied stations and automatic weather stations in the Antarctic and Southern and Pacific Oceans. The data are studied in four groupings: coastal Antarctica (excluding the Antarctic Peninsula), inland Antarctica, the Antarctic Peninsula and the Southern Ocean/Pacific Ocean islands. We find that within each of these four groupings the average trend indicates warming. For coastal Antarctica the trend is similar to 0.8 degrees C(100a)(-1). Inland, the results are less clear, but the mean trend is to a warming of similar to 1.0 degrees C(100a)(-1). For the Peninsula stations it is similar to 4.4 degrees C(100a)(-1), and for the ocean stations the average trend is similar to 0.80 degrees C(100a)(-1). The results indicate a reduction in the warming trend since our last analysis 6 years ago. While the Pinatubo (Philippines) volcanic eruption may have had some influence on this reduction in the warming rate, examination of the interannual variations in the temperature record shows variability has continued high since the recovery from any such effect. There has been a further period of cooler temperatures in coastal and inland Antarctica in that time, yet a warmer period in the Peninsula and ocean islands.</t>
  </si>
  <si>
    <t>Australian Antarctic Div, Dept Environm &amp; Heritage, Hobart, Tas 7001, Australia; Antarctic Climate &amp; Ecosyst CRC, Hobart, Tas 7001, Australia</t>
  </si>
  <si>
    <t>Australian Antarctic Division; University of Tasmania</t>
  </si>
  <si>
    <t>Australian Antarctic Div, Dept Environm &amp; Heritage, Private Bag 80, Hobart, Tas 7001, Australia.</t>
  </si>
  <si>
    <t>jglac@bigpond.com</t>
  </si>
  <si>
    <t>10.3189/172756404781813907</t>
  </si>
  <si>
    <t>WOS:000232368400050</t>
  </si>
  <si>
    <t>Kaczmarska, M; Isaksson, E; Karlöf, L; Winther, JG; Kohler, J; Godtliebsen, F; Olsen, LR; Hofstede, CM; Van den Broeke, MR; Van De Wal, RSW; Gundestrup, N</t>
  </si>
  <si>
    <t>Accumulation variability derived from an ice core from coastal Dronning Maud Land, Antarctica</t>
  </si>
  <si>
    <t>SHALLOW FIRN CORES; EAST ANTARCTICA; EXPLOSIVE VOLCANISM; SEASONAL-VARIATIONS; RECORD; CLIMATE; SNOW; NEUMAYER; STATION; SIZER</t>
  </si>
  <si>
    <t>A 100 m long ice core was retrieved from the coastal area of Dronning Maud Land (DML), Antarctica, in the 2000/01 austral summer. The core was dated to AD 1737 by identification of volcanic horizons in dielectrical profiling and electrical conductivity measurement records in combination with seasonal layer counting from high-resolution oxygen isotope (8180) data. A mean long-term accumulation rate of 0.29m a(-1) w.e. was derived from the high-resolution 5,80 record as well as accumulation rates during periods in between the identified volcanic horizons. A statistically significant decrease in accumulation was found from about 1920 to the present. A comparison with other coastal ice cores from DML suggests that this is a regional pattern.</t>
  </si>
  <si>
    <t>Norwegian Polar Res Inst, Polar Environm Ctr, N-9296 Tromso, Norway; Univ Tromso, Fac Sci, N-9037 Tromso, Norway; Univ Utrecht, Inst Marine &amp; Atmospher Res, NL-3584 CC Utrecht, Netherlands; Niels Bohr Inst Astron Phys &amp; Geophys, Dept Geophys, DK-2100 Copenhagen, Denmark</t>
  </si>
  <si>
    <t>Norwegian Polar Institute; UiT The Arctic University of Tromso; Utrecht University; University of Copenhagen; Niels Bohr Institute</t>
  </si>
  <si>
    <t>Norwegian Polar Res Inst, Polar Environm Ctr, N-9296 Tromso, Norway.</t>
  </si>
  <si>
    <t>marzena@npolar.no</t>
  </si>
  <si>
    <t>van de wal, roderik/D-1705-2011; Van den Broeke, Michiel R./F-7867-2011</t>
  </si>
  <si>
    <t>van de wal, roderik/0000-0003-2543-3892; Van den Broeke, Michiel R./0000-0003-4662-7565; Kohler, Jack/0000-0003-1963-054X</t>
  </si>
  <si>
    <t>10.3189/172756404781814186</t>
  </si>
  <si>
    <t>WOS:000232368400051</t>
  </si>
  <si>
    <t>Winebrenner, DP; Steig, EJ; Schneider, DP</t>
  </si>
  <si>
    <t>Temporal co-variation of surface and microwave brightness temperatures in Antarctica, with implications for the observation of surface temperature variability using satellite data</t>
  </si>
  <si>
    <t>IN-SITU; RECORDS; TRENDS</t>
  </si>
  <si>
    <t>Satellite observations of microwave emission are a key resource for estimating surface temperatures in Antarctica. Use of these data to examine climate variability, however, relies on the assumption of constancy through time in the relationship between surface temperatures and the proxy brightness temperatures. Thus we are motivated to study the physical relationship between surface and brightness temperature time series, and to seek indicators of possible temporal variability in that relationship. Here we report an initial study using near-surface temperatures from the Byrd Station automated weather station in West Antarctica and 37 GHz, vertically polarized brightness temperatures from the Scanning Multichannel Microwave Radiometer. We begin with the simplest model of the relevant thermal and microwave physics and derive a convolution expression that relates surface and brightness temperatures. The convolution kernel depends on firn thermal diffusivity and the microwave extinction coefficient in a particularly simple way: solely through a single characteristic time-scale. For the Byrd data, we find that the (fractional variation in) observed brightness temperatures can be reproduced by our model in considerable detail, on scales from interannual down to a few days. The time-scale is tightly constrained by minimization of the discrepancy between observed and simulated time series, and the optimized value agrees closely with that derived from independent estimates of firn thermal and microwave parameters. We find no evidence thus far of temporal variability in the relation between surface and brightness temperatures, though investigation across a wider domain in space and time is needed before such variability can be ruled out.</t>
  </si>
  <si>
    <t>Univ Washington, Appl Phys Lab, Seattle, WA 98195 USA; Univ Washington, Dept Earth &amp; Space Sci, Seattle, WA 98195 USA</t>
  </si>
  <si>
    <t>University of Washington; University of Washington Seattle; University of Washington; University of Washington Seattle</t>
  </si>
  <si>
    <t>Winebrenner, DP (corresponding author), Univ Washington, Appl Phys Lab, Box 355640, Seattle, WA 98195 USA.</t>
  </si>
  <si>
    <t>dpw@apl.washington.edu</t>
  </si>
  <si>
    <t>/G-9088-2015; Schneider, David/E-2726-2010</t>
  </si>
  <si>
    <t>/0000-0002-8191-5549; Schneider, David/0000-0001-5308-1834</t>
  </si>
  <si>
    <t>10.3189/172756404781813952</t>
  </si>
  <si>
    <t>WOS:000232368400052</t>
  </si>
  <si>
    <t>Magand, O; Frezzotti, M; Pourchet, M; Stenni, B; Genoni, L; Fily, M</t>
  </si>
  <si>
    <t>Climate variability along latitudinal and longitudinal transects in East Antarctica</t>
  </si>
  <si>
    <t>DRONNING MAUD LAND; SNOW ACCUMULATION; MASS-BALANCE; DOME-C; TRAVERSE</t>
  </si>
  <si>
    <t>In the framework of the International Trans-Antarctic Scientific Expedition (ITASE) programme, France and Italy carried out a traverse along one west-east and two north-south transects in East Antarctica from November 2001 to January 2002. Eighteen shallow snow-firn cores were drilled, and surface snow samples were collected every 5 km along the traverse. Firn temperatures were measured in boreholes down to 30m. The cores were analyzed for beta radioactivity to obtain snow accumulation-rate data. The surface snow samples were analyzed for delta O-18 to correlate isotopic values with borehole temperatures. Multiple regression analysis shows a global near-dry-adiabatic lapse rate and a latitudinal lapse rate of 1.05 degrees C(degrees lat. S)(-1), in the Dome C drainage area. Analysis of firn temperatures reveals a super-adiabatic lapse rate along the ice divide between Talos Dome and the Southern Ocean coast, and in some sectors along the ice divide between the Astrolabe Basin and D59. Snow accumulation rates and firn temperatures show warmer temperatures and higher accumulation values close to the ice divides extending from Talos Dome and Dome C to the Southern Ocean. The spatial pattern of data is linked with a katabatic-wind-source basin and moisture-source region.</t>
  </si>
  <si>
    <t>CNRS, UJF, Lab Glaciol &amp; Geophys Environm, F-38402 St Martin Dheres, France; ENEA, Ctr Ric Casaccia, I-00100 Rome, Italy; Univ Trieste, Dept Geol Environm &amp; Marine Sci, I-34127 Trieste, Italy</t>
  </si>
  <si>
    <t>Centre National de la Recherche Scientifique (CNRS); Communaute Universite Grenoble Alpes; Universite Grenoble Alpes (UGA); Italian National Agency New Technical Energy &amp; Sustainable Economics Development; University of Trieste</t>
  </si>
  <si>
    <t>Magand, O (corresponding author), CNRS, UJF, Lab Glaciol &amp; Geophys Environm, 54 Rue Moliere,BP 96, F-38402 St Martin Dheres, France.</t>
  </si>
  <si>
    <t>magand@lgge.obs.ujf-grenoble.fr</t>
  </si>
  <si>
    <t>FREZZOTTI, Massimo/AAK-7275-2020</t>
  </si>
  <si>
    <t>FREZZOTTI, Massimo/0000-0002-2461-2883; Stenni, Barbara/0000-0003-4950-3664</t>
  </si>
  <si>
    <t>10.3189/172756404781813961</t>
  </si>
  <si>
    <t>WOS:000232368400053</t>
  </si>
  <si>
    <t>Van Ommen, TD; Morgan, V; Curran, MAJ</t>
  </si>
  <si>
    <t>Deglacial and Holocene changes in accumulation at Law Dome, East Antarctica</t>
  </si>
  <si>
    <t>LAST GLACIAL PERIOD; ICE-CORE; SOUTHERN-HEMISPHERE; CLIMATE VARIABILITY; RECORD; EVENTS; BE-10; PALEOCLIMATE; INFORMATION; CIRCULATION</t>
  </si>
  <si>
    <t>Dating constraints have been combined with an ice-flow model to estimate surface accumulation rates at Law Dome, East Antarctica, to approximately 80 kyr Bp. Results indicate that the present high-accumulation regime (similar to 0.7 m a(-1) ice equivalent) was established some time after similar to 7 kyr Bp, following an increase of approximately 80% from early to mid-Holocene. The accumulation rate at the Last Glacial Maximum is estimated at less than similar to 10% of the modern value. The record reveals an approximately linear dependence between temperature (inferred from isotope ratio) and accumulation rate through the glacial period. This dependence breaks down in the early Holocene, and this is interpreted as a change to a mode in which moisture-transport changes have a stronger influence on accumulation than temperature (via absolute humidity). The changes in accumulation, including the large change in the early to mid-Holocene, are accompanied by changes in sea-salt concentrations which support the hypothesis that Law Dome climate has shifted from a glacial climate, more like that of the present-day Antarctic Plateau, to its current Antarctic maritime climate. The change between these two modes occurred progressively through the early Holocene, possibly reflecting insolation-driven changes in atmospheric moisture content and circulation.</t>
  </si>
  <si>
    <t>Australian Antarctic Div, Hobart, Tas 7001, Australia; CRC, Antarctic Climate &amp; Ecosyst, Hobart, Tas 7001, Australia</t>
  </si>
  <si>
    <t>Australian Antarctic Div, Private Bag 80, Hobart, Tas 7001, Australia.</t>
  </si>
  <si>
    <t>tas.van.ommen@utas.edu.au</t>
  </si>
  <si>
    <t>10.3189/172756404781814221</t>
  </si>
  <si>
    <t>WOS:000232368400054</t>
  </si>
  <si>
    <t>Rippin, DM; Bamber, JL; Siegert, MJ; Vaughan, DG; Corr, HFJ</t>
  </si>
  <si>
    <t>The role of ice thickness and bed properties on the dynamics of the enhanced-flow tributaries of Bailey Ice Stream and Slessor Glacier, East Antarctica</t>
  </si>
  <si>
    <t>SUBGLACIAL GEOLOGY; BENEATH; REVEAL; REGION; SHEET; DOME</t>
  </si>
  <si>
    <t>Airborne radio-echo sounding investigations in the upper reaches of Bailey ice Stream and Slessor Glacier, Coats Land, East Antarctica, have shown that enhanced-flow tributaries are associated with well-defined areas of relatively thicker ice, and are separated from each other by areas of relatively thinner ice. A numerical modelling study has revealed that while internal ice deformation might account for all the observed flow in inter-tributary areas and the majority in the Slessor tributaries, a significant proportion of the flow of Bailey tributary is attributable to basal motion. Further, investigations of depth-corrected basal reflection power indicate that the bed underlying both Bailey and Slessor enhanced-flow tributaries is significantly smoother than in the slower-moving inter-tributary areas. It is thus proposed that enhanced motion within Bailey tributary (and also perhaps Slessor) may be facilitated by a reduction in basal roughness, caused by the accumulation of water and/or sediments within subglacial valleys, or by the erosion and smoothing of bed obstacles.</t>
  </si>
  <si>
    <t>Univ Leeds, Sch Geog, Leeds LS2 9JT, W Yorkshire, England; Univ Bristol, Sch Geog Sci, Bristol Glaciol Ctr, Bristol BS8 1SS, Avon, England; British Antarctic Survey, Nat Environm Res Council, Cambridge CB3 0ET, England</t>
  </si>
  <si>
    <t>University of Leeds; University of Bristol; UK Research &amp; Innovation (UKRI); Natural Environment Research Council (NERC); NERC British Antarctic Survey</t>
  </si>
  <si>
    <t>Univ Leeds, Sch Geog, Woodhouse Lane, Leeds LS2 9JT, W Yorkshire, England.</t>
  </si>
  <si>
    <t>d.m.rippin@leeds.ac.uk</t>
  </si>
  <si>
    <t>Corr, Hugh/C-5398-2011; Siegert, Martin J/A-3826-2008; Bamber, Jonathan/C-7608-2011; Rippin, David Manish/AAW-5063-2021; Siegert, Martin/M-9939-2019; Vaughan, David/C-8348-2011</t>
  </si>
  <si>
    <t>Siegert, Martin J/0000-0002-0090-4806; Bamber, Jonathan/0000-0002-2280-2819; Rippin, David Manish/0000-0001-7757-9880; Siegert, Martin/0000-0002-0090-4806; Vaughan, David/0000-0002-9065-0570</t>
  </si>
  <si>
    <t>10.3189/172756404781814375</t>
  </si>
  <si>
    <t>WOS:000232368400055</t>
  </si>
  <si>
    <t>Ermolin, E; De Angelis, H; Skvarca, P; Rau, F</t>
  </si>
  <si>
    <t>Ground ice in permafrost on Seymour (Marambio) and Vega Islands, Antarctic Peninsula</t>
  </si>
  <si>
    <t>Seymour (Marambio) and Vega Islands occur within the continuous permafrost zone of the northeastern Antarctic Peninsula. Results are presented of investigations on the occurrence, distribution, morphology and genesis of ground ice, a key aspect of permafrost research in this region. According to its morphology, ice content, buried ice type and possible upper Quaternary conditions, permafrost is divided into two cryoformations: epigenetic and syngenetic. Based on field and remote-sensing data, 76.6 km(2) of Seymour Island and 81.0 km(2) of Vega island are characterized by permafrost, with estimated ice contents of 0.06 and 1.41 km(3), respectively. Different genetic ground-ice types are distinguished and a regional morphogenetic classification of ground ice is proposed.</t>
  </si>
  <si>
    <t>Inst Antarctico Argentino, Buenos Aires, DF, Argentina; Univ Freiburg, Inst Phys Geog, D-79085 Freising Weihenstephan, Germany</t>
  </si>
  <si>
    <t>University of Freiburg</t>
  </si>
  <si>
    <t>Inst Antarctico Argentino, Cerrito 1248,C1010AAZ, Buenos Aires, DF, Argentina.</t>
  </si>
  <si>
    <t>ivgen52@yahoo.com</t>
  </si>
  <si>
    <t>10.3189/172756404781814122</t>
  </si>
  <si>
    <t>WOS:000232368400056</t>
  </si>
  <si>
    <t>Raffi, R; Stenni, B; Flora, O; Polesello, S; Camusso, M</t>
  </si>
  <si>
    <t>Growth processes of an inland Antarctic ice wedge, Mesa Range, northern Victoria Land</t>
  </si>
  <si>
    <t>TERRA-NOVA BAY; GROUND-ICE; DRY-VALLEY; NORTHWEST-TERRITORIES; ISOTOPIC COMPOSITION; GARRY-ISLAND; SNOW; PRECIPITATION; CRACKS; COAST</t>
  </si>
  <si>
    <t>During the 16th Italian Antarctic Expedition (2000/01) a geomorphological survey of permafrost-related polygons was carried out in the Mesa Range area, upper Rennick Glacier. The investigated site is located in the uppermost reaches of Pain Mesa, which forms the northern sector of the Mesa Range. An ice wedge was found in a volcanic regolith at about 2200 m a.s.l. This altitude is below a well-defined erosional trimline, located at about 2380 m a.s.l. in this sector of Pain Mesa. The ice was sampled by inserting an ice screw, with an internal diameter of 14 mm, into the ice wedge in vertical sequences. Oriented block samples for thin sections were taken. A co-isotopic study was performed, measuring both oxygen (delta O-18) and hydrogen (delta D) isotope compositions. Tritium activity was measured, and major cations and anions were determined. The delta O-18 and delta D obtained showed a strong divergence from the snowfalls expected to occur at this elevation, with extremely negative d excess values. Sublimation processes were taken into account to define the origin of the ice forming the wedge. The tritium data obtained suggest that the growth process of the ice wedge might still be active today.</t>
  </si>
  <si>
    <t>Univ Roma La Sapienza, Dipartimento Sci Terra, I-00185 Rome, Italy; Univ Trieste, Dipartimento Sci Geol Ambiental &amp; Marine, I-34127 Trieste, Italy; CNR, Ist Ric Acque, Brugherio, MI, Italy</t>
  </si>
  <si>
    <t>Sapienza University Rome; University of Trieste; Consiglio Nazionale delle Ricerche (CNR)</t>
  </si>
  <si>
    <t>Raffi, R (corresponding author), Univ Roma La Sapienza, Dipartimento Sci Terra, Piazzale A Moro 5, I-00185 Rome, Italy.</t>
  </si>
  <si>
    <t>rossana.raffi@uniroma1.it</t>
  </si>
  <si>
    <t>POLESELLO, STEFANO/N-7183-2015; Raffi, Rossana/D-3753-2009</t>
  </si>
  <si>
    <t>POLESELLO, STEFANO/0000-0003-3371-1039; Raffi, Rossana/0000-0002-2114-6717; Stenni, Barbara/0000-0003-4950-3664</t>
  </si>
  <si>
    <t>10.3189/172756404781814195</t>
  </si>
  <si>
    <t>WOS:000232368400057</t>
  </si>
  <si>
    <t>Faria, SH; Kipfstuhl, S</t>
  </si>
  <si>
    <t>Preferred slip-band orientations and bending observed in the Dome Concordia (East Antarctica) ice core</t>
  </si>
  <si>
    <t>INDUCED ANISOTROPY; DEFORMATION; FABRICS</t>
  </si>
  <si>
    <t>Fabric analysis of the upper 1300 m of the Dome C (East Antarctica) ice core reveals a slight clustering tendency of c axes towards the vertical, which gradually enhances with depth from an initially isotropic orientational distribution of c axes at the free surface. Such a strain-induced anisotropy is compatible with the expected macroscale stress state in a dome, i.e. dominated by vertical compression. Yet, when one analyzes the orientational distribution of the visible gliding layers of individual crystallites (slip bands), the evidence is quite contrasting. Direct observation of slip bands in samples from the Dome C ice core taken from different depths (204-1291 m) indicates a higher slip activity in nearly horizontal planes, in such a manner that &gt; 60% of the detected slip bands have an inclination of &lt; 30 degrees with respect to the horizontal. Furthermore, the observed slip activity is not symmetric, i.e. the number of slip bands discerned at 20 degrees, say, is usually not comparable with the number found at 160 degrees. Such features are not consistent with the predicted slip activity induced by compression and/or extension. In this work, we present evidence for this unexpected orientational distribution of slip bands and discuss some of the possible causes. Natural and artificial agents are investigated, together with their respective consequences for ice-sheet modeling and ice-core processing. Additionally, we show the occurrence of bent slip bands in certain crystallites. Such a bending represents an early stage of polygonization, and highlights the strong inhomogeneity of deformation at the crystal level. Moreover, it indicates that polygonization might be mathematically interpreted as a continuous process of rotation, characterized by the divergence of c axes from a common direction.</t>
  </si>
  <si>
    <t>Tech Univ Darmstadt, Dept Mech, D-64289 Darmstadt, Germany; Univ Fed Parana, Dept Fis, BR-81531990 Curitiba, Parana, Brazil; Alfred Wegener Inst Polar &amp; Marine Res, D-27568 Bremerhaven, Germany</t>
  </si>
  <si>
    <t>Technical University of Darmstadt; Universidade Federal do Parana; Helmholtz Association; Alfred Wegener Institute, Helmholtz Centre for Polar &amp; Marine Research</t>
  </si>
  <si>
    <t>Tech Univ Darmstadt, Dept Mech, Hsch Str 1, D-64289 Darmstadt, Germany.</t>
  </si>
  <si>
    <t>faria@mis.mpg.de</t>
  </si>
  <si>
    <t>Faria, Sergio Henrique/K-9454-2013</t>
  </si>
  <si>
    <t>Faria, Sergio Henrique/0000-0002-8825-7518</t>
  </si>
  <si>
    <t>10.3189/172756404781814078</t>
  </si>
  <si>
    <t>WOS:000232368400058</t>
  </si>
  <si>
    <t>Drinkwater, MR; Floury, N; Tedesco, M</t>
  </si>
  <si>
    <t>L-band ice-sheet brightness temperatures at Dome C, Antarctica: spectral emission modelling, temporal stability and impact of the ionosphere</t>
  </si>
  <si>
    <t>MICROWAVE EMISSION; SNOW; SNOWPACKS</t>
  </si>
  <si>
    <t>The temporal thermal stability, size, structure and spatial uniformity of Antarctic Plateau regions such as Dome C make them ideal candidates for external calibration and validation, or radiometric performance monitoring of planned space-borne L-band radiometers such as the Soil Moisture and Ocean Salinity (SMOS) radiometer. As experimental observations do not exist at this frequency, a combination of historical Ka-, X- and C-band data are used together with electromagnetic and ionospheric models to extrapolate to this longer wavelength. Dome C is demonstrated to exhibit negligible seasonal variability (&lt; 0.1 K) and may prove to be a suitable candidate, provided the effects of atmospheric and ionospheric perturbations can be mitigated.</t>
  </si>
  <si>
    <t>European Space Agcy, Earth Observat Programmes Directorate, NL-2200 AG Noordwijk, Netherlands; Ist Fis Applicato Nello Carrara, I-50127 Florence, Italy</t>
  </si>
  <si>
    <t>European Space Agency; Consiglio Nazionale delle Ricerche (CNR); Istituto di Fisica Applicata Nello Carrara (IFAC-CNR)</t>
  </si>
  <si>
    <t>Drinkwater, MR (corresponding author), European Space Agcy, Earth Observat Programmes Directorate, Postbus 299, NL-2200 AG Noordwijk, Netherlands.</t>
  </si>
  <si>
    <t>Tedesco, Marco/F-7986-2015; Drinkwater, Mark/C-2478-2011</t>
  </si>
  <si>
    <t>10.3189/172756404781814014</t>
  </si>
  <si>
    <t>WOS:000232368400059</t>
  </si>
  <si>
    <t>Song, M; Cole, DM; Baker, I</t>
  </si>
  <si>
    <t>Initial experiments on the effects of particles at grain boundaries on the anelasticity and creep behavior of granular ice</t>
  </si>
  <si>
    <t>POLYCRYSTALLINE ICE; INTERNAL-FRICTION; SALINE ICE; STRAIN; DEFORMATION; STRESS; SHEETS; RATES</t>
  </si>
  <si>
    <t>Experimental observations of the influence of particles at grain boundaries on the anelasticity and creep behavior of granular fresh-water ice are presented. Ice with particle contents of 0-4 wt.% was investigated under both reversed direct-stress and creep loading conditions at -12 degrees C. The results show that the particles decreased the grain-boundary relaxation by suppressing grain-boundary sliding at higher frequencies (10(-1) to 10(1) Hz). In addition, the modulus increased by up to 30%, and the internal friction decreased by up to 30% at a frequency of 1 Hz. Staged creep tests showed that the particles affected the creep rate substantially. The minimum creep rate of ice containing 1 wt.% particles is 40% higher than that of particle-free ice, indicating that mechanisms besides dislocation glide aid the creep deformation.</t>
  </si>
  <si>
    <t>Song, M (corresponding author), Dartmouth Coll, Thayer Sch Engn, Hanover, NH 03755 USA.</t>
  </si>
  <si>
    <t>Min.Song@Dartmouth.edu</t>
  </si>
  <si>
    <t>Song, Min/C-3730-2013</t>
  </si>
  <si>
    <t>Song, Min/0000-0002-3197-4647</t>
  </si>
  <si>
    <t>10.3189/172756404781814069</t>
  </si>
  <si>
    <t>WOS:000232368400060</t>
  </si>
  <si>
    <t>Vittuari, L; Vincent, C; Frezzotti, M; Mancini, F; Gandolfi, S; Bitelli, G; Capra, A</t>
  </si>
  <si>
    <t>Space geodesy as a tool for measuring ice surface velocity in the Dome C region and along the ITASE traverse</t>
  </si>
  <si>
    <t>SHEET THICKNESS CHANGE; SNOW ACCUMULATION; EAST ANTARCTICA; FLOW; TOPOGRAPHY; ALTIMETRY; GPS</t>
  </si>
  <si>
    <t>Dome C was chosen by the European Project for Ice Coring in Antarctica (EPICA) as the site for the drilling of a deep ice core. This paper presents results from geodetic surveys of ice velocities (absolute and relative) at Dome C and along a transect to Terra Nova Bay. The purpose of the surveys was to provide accurate data for the study of ice dynamics, particularly a strain network comprising 37 poles surveyed in 1995 and again in 1999. Data indicate that the ice surface at the poles closest to the topographic summit moves horizontally by up to a few mm a(-1) in a direction consistent with downslope motion of the ice sheet, while 25 km from the summit it moves up to 211 mm a(-1). The EPICA drilling site yields an interpolated velocity of about 15 +/- 10 mm a(-1) in a north-northwesterly direction. Analysis of the velocity field and surface topography reveals that the surface flow centre is nearly co-located with the dome summit, and that both are in a steady-state condition. The measured horizontal velocities are consistent with the remote-sensing result and provide accurate ground-truth control for flow mapping. Seven snow-firn cores, up to 53 m deep, were drilled during the Terra Nova Bay-Dome C traverse. Submerged velocity systems were installed at the borehole and measured using the global positioning system (GPS). First results show a steady-state condition. Measured (horizontal) ice velocities increase from the summit of the ice sheet to the coast, reaching about 28 m a(-1) at site GPS2A.</t>
  </si>
  <si>
    <t>Univ Bologna, DISTART, I-40136 Bologna, Italy; CNRS, Lab Glaciol &amp; Geophys Environm, F-38402 St Martin Dheres, France; ENEA, Ctr Ric Cassaccia, I-00100 Rome, Italy; Politecn Bari, Fac Ingn, I-74100 Taranto, Italy</t>
  </si>
  <si>
    <t>University of Bologna; Centre National de la Recherche Scientifique (CNRS); Italian National Agency New Technical Energy &amp; Sustainable Economics Development; Politecnico di Bari</t>
  </si>
  <si>
    <t>Univ Bologna, DISTART, Viale Risorgimento 2, I-40136 Bologna, Italy.</t>
  </si>
  <si>
    <t>luca.vittuari@mail.ing.unibo.it</t>
  </si>
  <si>
    <t>Vittuari, Luca/C-1606-2018; Mancini, Francesco/L-2937-2015; FREZZOTTI, Massimo/AAK-7275-2020; Gandolfi, Stefano/A-4892-2016; Capra, Alessandro/L-9743-2015</t>
  </si>
  <si>
    <t>Mancini, Francesco/0000-0002-8553-345X; FREZZOTTI, Massimo/0000-0002-2461-2883; Gandolfi, Stefano/0000-0003-2096-5670; Capra, Alessandro/0000-0001-6660-3291; Vittuari, Luca/0000-0002-9815-1004; Bitelli, Gabriele/0000-0002-6118-6000</t>
  </si>
  <si>
    <t>10.3189/172756404781814627</t>
  </si>
  <si>
    <t>WOS:000232368400061</t>
  </si>
  <si>
    <t>Hedfors, J; Pohjola, VA</t>
  </si>
  <si>
    <t>Ice flux of Plogbreen, a small ice stream in Dronning Maud Land, Antarctica</t>
  </si>
  <si>
    <t>EAST ANTARCTICA; GLACIERS; FLOW</t>
  </si>
  <si>
    <t>As part of a long-term mass-balance program run by SWEDARP since 1988, a detailed study on Plogbreen, Dronning Maud Land, Antarctica, was undertaken during the austral summer of 2003 to investigate the long-term mass balance. We compare ice outflux, phi(out), through a cross-sectional gate with ice influx, phi(in), from the upstream catchment area. The phi(in) is based on calculations of snow accumulation upstream of the gate using data available from published ice-core records. The phi(out) is based on Glen's flow law aided by thermodynamic modeling and force-budget calculations. Input data from the field consist of measurements of ice surface velocity and ice geometry. The ice surface velocity was measured using repeated differential global positioning system surveying of 40 stakes over a period of 25 days. The ice geometry was determined by 174 km of ground-penetrating radar profiling using ground-based 8 MHz dipole antennas. This study presents the collected velocity and geometry data as well as the calculated ice flux of Plogbreen. The results show a negatively balanced system within the uncertainty limits; phi(out) = 0.55 +/- 0.05 km(3) a(-1) and phi(in) = 0.4 +/- 0.1 km(3) a(-1). We speculate that the negative balance can be explained by recent eustatic increase reducing resistive stresses and inducing accelerated flow.</t>
  </si>
  <si>
    <t>Uppsala Univ, Dept Earth Sci, S-75236 Uppsala, Sweden</t>
  </si>
  <si>
    <t>Uppsala University</t>
  </si>
  <si>
    <t>Hedfors, J (corresponding author), Uppsala Univ, Dept Earth Sci, Villavagen 16, S-75236 Uppsala, Sweden.</t>
  </si>
  <si>
    <t>Jim.Hedfors@geo.uu.se</t>
  </si>
  <si>
    <t>10.3189/172756404781813844</t>
  </si>
  <si>
    <t>WOS:000232368400062</t>
  </si>
  <si>
    <t>Sinisalo, A; Grinsted, A; Moore, J</t>
  </si>
  <si>
    <t>Dynamics of the Scharffenbergbotnen blue-ice area, Dronning Maud Land, Antarctica</t>
  </si>
  <si>
    <t>FIRN-DENSIFICATION; EAST ANTARCTICA; RADAR; MODEL; SNOW</t>
  </si>
  <si>
    <t>Ground-penetrating radar (GPR) surveys in Scharffenbergbotnen valley, Dronning Maud Land, Antarctica, complement earlier, relatively sparse data on the ice-flow dynamics and mass-balance distribution of the area. The negative net surface mass balance in the valley appears to be balanced by the inflow. The flow regime in Scharffenbergbotnen defines four separate mass-balance areas, and about 60 times more ice enters the valley from the northwestern entrance than via the narrow western gate. We formalize and compare three methods of determining both the surface age gradient of the blue ice and the dip angles of isochrones in the firn/blue-ice transition zone: observed and dated radar internal reflections, a geometrical model of isochrones, and output from a flowline model. The geometrical analysis provides generally applicable relationships between ice surface velocity and surface age gradient or isochrone dip angle.</t>
  </si>
  <si>
    <t>Univ Lapland, Arctic Ctr, FIN-96101 Rovaniemi, Finland; Univ Oulu, Dept Geophys, FIN-90014 Oulu, Finland</t>
  </si>
  <si>
    <t>University of Lapland; University of Oulu</t>
  </si>
  <si>
    <t>Sinisalo, A (corresponding author), Univ Lapland, Arctic Ctr, POB 122, FIN-96101 Rovaniemi, Finland.</t>
  </si>
  <si>
    <t>anna.sinisalo@ulapland.fi</t>
  </si>
  <si>
    <t>Moore, John C/B-2868-2013; Grinsted, Aslak/J-9273-2012</t>
  </si>
  <si>
    <t>Moore, John C/0000-0001-8271-5787; Grinsted, Aslak/0000-0003-1634-6009; Sinisalo, Anna/0000-0002-7587-1877</t>
  </si>
  <si>
    <t>10.3189/172756404781814177</t>
  </si>
  <si>
    <t>WOS:000232368400063</t>
  </si>
  <si>
    <t>Frezzotti, M; Bitelli, G; De Michelis, P; Deponti, A; Forieri, A; Gandolfi, S; Maggi, V; Mancini, F; Remy, F; Tabacco, IE; Urbini, S; Vittuari, L; Zirizzottl, A</t>
  </si>
  <si>
    <t>Geophysical survey at Talos Dome, East Antarctica: the search for a new deep-drilling site</t>
  </si>
  <si>
    <t>NORTHERN VICTORIA-LAND; DRONNING MAUD LAND; ICE-SHEET; FRONTIER MOUNTAIN; SNOW; VARIABILITY; GREENLAND; THICKNESS; SURFACE; RECORD</t>
  </si>
  <si>
    <t>Talos Dome is an ice dome on the edge of the East Antarctic plateau; because accumulation is higher here than in other domes of East Antarctica, the ice preserves a good geochemical and palaeoclimatic record. A new map of the Talos Dome area locates the dome summit using the global positioning system (GPS) (72 degrees 47' 14 '' S, 159 degrees 04' 2 '' E; 2318.5 m elevation (WGS84)). A surface strain network of nine stakes was measured using GPS. Data indicate that the stake closest to the summit moves south-southeast at a few cm a(-1). The other stakes, located 8 km away, move up to 0.33 m a(-1). Airborne radar measurements indicate that the bedrock at the Talos Dome summit is about 400 m in elevation, and that it is covered by about 1900 rn of ice. Snow radar and GPS surveys show that internal layering is continuous and horizontal in the summit area (115 km radius). The depth distribution analysis of snow radar layers reveals that accumulation decreases downwind of the dome (north-northeast) and increases upwind (south-southwest). The palaeomorphology of the dome has changed during the past 500 years, probably due to variation in spatial distribution of snow accumulation, driven by wind sublimation. In order to calculate a preliminary age vs depth profile for Talos Dome, a simple one-dimensional steady-state model was formulated. This model predicts that the ice 100 m above the bedrock may cover one glacial-interglacial period.</t>
  </si>
  <si>
    <t>ENEA, Ctr Ric Casaccia, I-00100 Rome, Italy; Univ Bologna, DISTART, I-40136 Bologna, Italy; INGV, I-00143 Rome, Italy; Univ Milan, Dept Environm Sci, I-20126 Milan, Italy; Univ Milan, Dept Earth Sci, I-20129 Milan, Italy; Univ Siena, Dept Earth Sci, I-53100 Siena, Italy; CNRS, CNES, UPS, F-31055 Toulouse, France</t>
  </si>
  <si>
    <t>Italian National Agency New Technical Energy &amp; Sustainable Economics Development; University of Bologna; Istituto Nazionale Geofisica e Vulcanologia (INGV); University of Milan; University of Milan; University of Siena; Universite de Toulouse; Universite Toulouse III - Paul Sabatier; Centre National de la Recherche Scientifique (CNRS)</t>
  </si>
  <si>
    <t>ENEA, Ctr Ric Casaccia, POB 2400, I-00100 Rome, Italy.</t>
  </si>
  <si>
    <t>frezzotti@casaccia.enea.it</t>
  </si>
  <si>
    <t>FREZZOTTI, Massimo/AAK-7275-2020; Maggi, Valter/E-1878-2014; Mancini, Francesco/L-2937-2015; Maggi, Valter/AAX-5728-2020; Vittuari, Luca/C-1606-2018; Gandolfi, Stefano/A-4892-2016</t>
  </si>
  <si>
    <t>FREZZOTTI, Massimo/0000-0002-2461-2883; Mancini, Francesco/0000-0002-8553-345X; Maggi, Valter/0000-0001-6287-1213; urbini, stefano/0000-0002-8053-4197; Vittuari, Luca/0000-0002-9815-1004; Gandolfi, Stefano/0000-0003-2096-5670; Bitelli, Gabriele/0000-0002-6118-6000</t>
  </si>
  <si>
    <t>10.3189/172756404781814591</t>
  </si>
  <si>
    <t>WOS:000232368400064</t>
  </si>
  <si>
    <t>Saito, F; Abe-Ouchi, A</t>
  </si>
  <si>
    <t>Thermal structure of Dome Fuji and east Dronning Maud Land, Antarctica, simulated by a three-dimensional ice-sheet model</t>
  </si>
  <si>
    <t>FLOW; GREENLAND; BALANCE</t>
  </si>
  <si>
    <t>Three-dimensional structures of temperature focused on Dome Fuji and east Dronning Maud Land, Antarctica, simulated in a three-dimensional shallow ice model, are reported. With a geothermal heat flux of 54.6 mW m(-2), as used in several modelling studies of the Antarctic ice sheet, and an enhancement factor of 1.3, which is smaller than in previous studies, the model result taking into account the glacial cycles is in good agreement with the borehole temperature and surface topography at Dome Fuji. The basal temperature at Dome Fuji must be at or very close to the pressure-melting point. The simulated amplitude of basal temperature through glacial/interglacial cycles is &lt;1 K.</t>
  </si>
  <si>
    <t>Univ Tokyo, Ctr Climate Syst Res, Meguro Ku, Tokyo 1538904, Japan</t>
  </si>
  <si>
    <t>Saito, F (corresponding author), Univ Tokyo, Ctr Climate Syst Res, Meguro Ku, Komaba 4-6-1, Tokyo 1538904, Japan.</t>
  </si>
  <si>
    <t>fuyuki@ccsr.u-tokyo.ac.jp</t>
  </si>
  <si>
    <t>SAITO, Fuyuki/B-8776-2013; Abe-Ouchi, Ayako A/M-6359-2013</t>
  </si>
  <si>
    <t>Abe-Ouchi, Ayako A/0000-0003-1745-5952; SAITO, Fuyuki/0000-0001-5935-9614</t>
  </si>
  <si>
    <t>10.3189/172756404781814258</t>
  </si>
  <si>
    <t>WOS:000232368400065</t>
  </si>
  <si>
    <t>Wang, WL; Li, J; Zwally, J; Morgan, V; Van Ommen, TD</t>
  </si>
  <si>
    <t>The effect of anisotropic flow properties on ice-sheet surface elevation change</t>
  </si>
  <si>
    <t>DOME SUMMIT SOUTH; LAW DOME; GREENLAND; DEFORMATION; RHEOLOGY; GLACIERS; VELOCITY</t>
  </si>
  <si>
    <t>An ice-flow model has been developed and applied to Law Dome, East Antarctica, at the location of the Dome Summit South deep borehole. The results are used to reconstruct an ice-sheet history of accumulation rate, ice thickness and the rate of change in ice thickness. The focus of this study is on the effect of the variation in anisotropic flow properties on the ice-sheet surface elevation change. The enhancement factor, defined as the ratio of the strain rate for anisotropic ice to the strain rate for isotropic ice, is used in the ice-flow relations to account for the anisotropic properties of the ice with fabric development. The model is run with the various ice rheologies which represent anisotropic or isotropic ice-flow properties. The results show that the model incorporating anisotropic flow properties of the ice is more sensitive to the climate-change history.</t>
  </si>
  <si>
    <t>NASA, Goddard Space Flight Ctr, Raytheon ITSS, Greenbelt, MD 20771 USA; NASA, Goddard Space Flight Ctr, Oceans &amp; Ice Branch, Greenbelt, MD 20771 USA; Australian Antarctic Div, Hobart, Tas 7001, Australia; CRC, Antarctic Climate &amp; Ecosyst, Hobart, Tas 7001, Australia</t>
  </si>
  <si>
    <t>National Aeronautics &amp; Space Administration (NASA); NASA Goddard Space Flight Center; National Aeronautics &amp; Space Administration (NASA); NASA Goddard Space Flight Center; Australian Antarctic Division</t>
  </si>
  <si>
    <t>NASA, Goddard Space Flight Ctr, Raytheon ITSS, Code 971, Greenbelt, MD 20771 USA.</t>
  </si>
  <si>
    <t>weili@icesat2.gsfc.nasa.gov</t>
  </si>
  <si>
    <t>10.3189/172756404781813989</t>
  </si>
  <si>
    <t>WOS:000232368400066</t>
  </si>
  <si>
    <t>Salvi, C; Salvi, G; Stenni, B; Brambati, A</t>
  </si>
  <si>
    <t>Palaeoproductivity in the Ross Sea, Antarctica, during the last 15 kyr BP and its link with ice-core temperature proxies</t>
  </si>
  <si>
    <t>QUATERNARY DIATOM ASSEMBLAGES; PLEISTOCENE-HOLOCENE RETREAT; EAST ANTARCTICA; GLACIAL MAXIMUM; BIOGENIC SILICA; SOUTHERN-OCEAN; SHEET SYSTEM; CLIMATE; PENINSULA; SEDIMENTS</t>
  </si>
  <si>
    <t>A detailed study of organic carbon content obtained from two sediment cores collected in the Joides basin, western Ross Sea, Antarctica, was carried out. The variations observed during the last deglaciation and the Holocene were compared to the high-resolution climatic records (EPICA DC and Taylor Dome) preserved in the ice. The importance of the carbon content as a proxy for palaeoclimatic and palaeoenvironmental changes was investigated. A dramatic decrease in the Ross Sea palaeo-productivity was observed during the Antarctic Cold Reversal (12.5-14 kyr (BP)). Another decrease in total organic carbon in the second half of the Holocene (after 5-6 kyr BP) confirms the climate worsening observed in previous studies.</t>
  </si>
  <si>
    <t>Univ Trieste, Dept Geol Marine &amp; Environm Sci, I-34127 Trieste, Italy</t>
  </si>
  <si>
    <t>University of Trieste</t>
  </si>
  <si>
    <t>Univ Trieste, Dept Geol Marine &amp; Environm Sci, Via Weiss 2, I-34127 Trieste, Italy.</t>
  </si>
  <si>
    <t>salvi@units.it</t>
  </si>
  <si>
    <t>Stenni, Barbara/0000-0003-4950-3664</t>
  </si>
  <si>
    <t>10.3189/172756404781814582</t>
  </si>
  <si>
    <t>WOS:000232368400067</t>
  </si>
  <si>
    <t>Iizuka, Y; Takata, M; Hondoh, T; Fujii, Y</t>
  </si>
  <si>
    <t>High-time-resolution profiles of soluble ions in the last glacial period of a Dome Fuji (Antarctica) deep ice core</t>
  </si>
  <si>
    <t>POLAR ICE; SULFATE</t>
  </si>
  <si>
    <t>We measured the depth profiles of soluble ions in the Dome Fuji (Antarctica) ice core to search for possible paleoclimate indications of seasonal climate variations in the last glacial period. A 523 mm long core section between 587.65 and 588.18 m depth was selected for this pilot study, and the high-resolution chemical analysis was done on 2mm thick samples. Our results indicate that anion-cation trapping in ice affects the profiles of the soluble ions and [Na+] in the core may preserve its seasonal signal. Correlation coefficients and the equivalent balances of the soluble ions suggest the following selective coexistences: (1) [Cl-] = [Na+], (2) [NO3-] = 1/2[Ca2+] + [K+], and (3) [SO42-] = 1/2[Ca2+] + [H+] + [Mg2+]. These coexistences are probably due to (1) a sea-salt source of Na+ and Cl-, (2) reaction of NO3- with dust for Ca2+ and NO3-, and (3) anion-cation trapping in ice for SO42- and Ca2+ (Mg2+), respectively.</t>
  </si>
  <si>
    <t>Hokkaido Univ, Inst Low Temp Sci, Sapporo, Hokkaido 0600819, Japan; Natl Inst Polar Res, Itabashi Ku, Tokyo 1738515, Japan</t>
  </si>
  <si>
    <t>Hokkaido University; Research Organization of Information &amp; Systems (ROIS); National Institute of Polar Research (NIPR) - Japan</t>
  </si>
  <si>
    <t>iizuka@gen.yuge.ac.jp</t>
  </si>
  <si>
    <t>Iizuka, Yoshinori/D-9112-2012; HONDOH, Takeo/E-7551-2011</t>
  </si>
  <si>
    <t>Iizuka, Yoshinori/0000-0001-7241-6062; HONDOH, Takeo/0000-0003-4129-022X</t>
  </si>
  <si>
    <t>10.3189/172756404781814302</t>
  </si>
  <si>
    <t>WOS:000232368400068</t>
  </si>
  <si>
    <t>Udisti, R; Becagli, S; Benassai, S; De Angelis, M; Hansson, ME; Jouzel, J; Schwander, J; Steffensen, JP; Traversi, R; Wolff, E</t>
  </si>
  <si>
    <t>Sensitivity of chemical species to climatic changes in the last 45 kyr as revealed by high-resolution Dome C (East Antarctica) ice-core analysis</t>
  </si>
  <si>
    <t>CYCLE 160,000 YEARS; ELECTRICAL-CONDUCTIVITY; EXPLOSIVE VOLCANISM; COLD REVERSAL; FIRN LAYERS; RECORD; GREENLAND; VOSTOK; DUST; SNOW</t>
  </si>
  <si>
    <t>To assess the cause/effect relationship between climatic and environmental changes, we report high-resolution chemical profiles of the Dome C ice core (788m, 45kyr), drilled in the framework of the European Project for Ice Coring in Antarctica (EPICA). Snow-concentration and depositional-flux changes during the last deglaciation were compared with climatic changes, derived by delta D profile. Concentration and temperature profiles showed an anticorrelation, driven by changes in source intensity and transport efficiency of the atmospheric aerosol and by snow accumulation-rate variations. The flux calculation allowed correction for accumulation rate. While sulphate and ammonium fluxes are quite constant, Na+, Mg2+ and Ca2+ underwent the greatest changes, showing fluxes respectively about two, three and six times lower in the Holocene than in the Last Glacial Maximum. Chloride, nitrate and methanesulphonic acid (MSA) also exhibited large changes, but their persistence depends on depositional and post-depositional effects. The comparison between concentrations and delta D profiles revealed leads and lags between chemical and temperature trends: Ca2+ and nitrate preceded by about 300 years the delta D increase at the deglaciation onset, while MSA showed a 400 year delay. Generally, all components reached low Holocene values in the first deglaciation step 0 8.0-14.0 kyr (BP), but Na+, Mg2+ and nitrate show changes during the Antarctic Cold Reversal (14.0-12.5 kyr (BP)).</t>
  </si>
  <si>
    <t>Univ Florence, Dept Chem, I-50019 Florence, Italy; CNRS, Lab Glaciol &amp; Geophys Environm, F-38402 St Martin Dheres, France; Univ Stockholm, Dept Phys Geog &amp; Quaternary Geol, S-10691 Stockholm, Sweden; CNRS, CEA, UMR, Lab Sci Climat &amp; Environm, F-91191 Gif Sur Yvette, France; Univ Bern, Inst Phys, CH-3012 Bern, Switzerland; Univ Copenhagen, Niels Bohr Inst, Dept Geophys, DK-2100 Copenhagen, Denmark; British Antarctic Survey, NERC, Cambridge CB3 0ET, England</t>
  </si>
  <si>
    <t>University of Florence; Centre National de la Recherche Scientifique (CNRS); Stockholm University; CEA; Centre National de la Recherche Scientifique (CNRS); Universite Paris Saclay; University of Bern; University of Copenhagen; Niels Bohr Institute; UK Research &amp; Innovation (UKRI); Natural Environment Research Council (NERC); NERC British Antarctic Survey</t>
  </si>
  <si>
    <t>Univ Florence, Dept Chem, Via Lastruccia 3, I-50019 Florence, Italy.</t>
  </si>
  <si>
    <t>Udisti, Roberto/M-7966-2015; Wolff, Eric W/D-7925-2014; Steffensen, Jorgen Peder/JFS-7831-2023; Becagli, Silvia/GNW-2665-2022; Traversi, Rita/M-7586-2015</t>
  </si>
  <si>
    <t>Udisti, Roberto/0000-0003-4440-8238; Wolff, Eric W/0000-0002-5914-8531; Steffensen, Jorgen Peder/0000-0002-5516-1093; Traversi, Rita/0000-0002-9790-2195; Becagli, Silvia/0000-0003-3633-4849</t>
  </si>
  <si>
    <t>10.3189/172756404781814096</t>
  </si>
  <si>
    <t>WOS:000232368400069</t>
  </si>
  <si>
    <t>Takata, M; Iizuka, Y; Hondoh, T; Fujita, S; Fujii, Y; Shoji, H</t>
  </si>
  <si>
    <t>Stratigraphic analysis of Dome Fuji Antarctic ice core using an optical scanner</t>
  </si>
  <si>
    <t>LASER-LIGHT SCATTERING; POLAR ICE; SNOW ACCUMULATION; GREENLAND; NORTHGRIP; CLIMATE; LAYERS</t>
  </si>
  <si>
    <t>Long-term changes of snow-accumulation rate in Antarctica are a major uncertainty in our understanding of past climate. Because the visible strata in polar ice are due to variations in the sizes and concentrations of air inclusions and microparticles, the scattered light intensity from an ice core yields valuable information on the stratification, which is likely to provide estimates of the annual accumulation rates. Identification of each layer is therefore necessary, and we developed an optical scanner apparatus to record detailed visible strata of ice cores. The apparatus records the two-dimensional distribution of light-scattering intensity along ice-core samples and produces an image of the whole ice-core sample by an image analysis process. These images showed that ice from Dome Fuji ice core contained a large number of layers. Volcanic layers were also well identified. We processed the scattering intensity on the enhanced intensity images to produce an intensity profile. This profile showed that the period of the intensity variations is consistent with a core-dating model applied to the Dome Fuji ice core. We also found that the intensity peaks are closely correlated to peaks in Ca2+ ion concentrations. Thus, our scanning method is a promising approach to measuring annual-layer thickness and, as a result, may be used to infer past accumulation rates in Antarctica.</t>
  </si>
  <si>
    <t>Hokkaido Univ, Inst Low Temp Sci, Sapporo, Hokkaido 0600819, Japan; Yuge Natl Coll Maritime Technol, Ochi, Ehime 7942506, Japan; Natl Inst Polar Res, Itabashi Ku, Tokyo 1738515, Japan; Kitami Inst Technol, Kitami, Hokkaido 0900015, Japan</t>
  </si>
  <si>
    <t>Hokkaido University; Research Organization of Information &amp; Systems (ROIS); National Institute of Polar Research (NIPR) - Japan; Kitami Institute of Technology</t>
  </si>
  <si>
    <t>Nagaoka Univ Technol, Kamitomioka Machi 1603-1, Nagaoka, Niigata 9402188, Japan.</t>
  </si>
  <si>
    <t>morimasa@mech.nagaokaut.ac.jp</t>
  </si>
  <si>
    <t>HONDOH, Takeo/E-7551-2011; Fujita, Shuji/A-7884-2016; Iizuka, Yoshinori/D-9112-2012</t>
  </si>
  <si>
    <t>HONDOH, Takeo/0000-0003-4129-022X; Fujita, Shuji/0000-0003-0127-0777; Iizuka, Yoshinori/0000-0001-7241-6062</t>
  </si>
  <si>
    <t>10.3189/172756404781813899</t>
  </si>
  <si>
    <t>WOS:000232368400070</t>
  </si>
  <si>
    <t>Becagli, S; Proposito, M; Benassai, S; Flora, O; Genoni, L; Gragnani, R; Largiuni, O; Pili, SL; Severi, M; Stenni, B; Traversi, R; Udisti, R; Frezzott, M</t>
  </si>
  <si>
    <t>Chemical and isotopic snow variability in East Antarctica along the 2001/02 ITASE traverse</t>
  </si>
  <si>
    <t>NORTHERN VICTORIA LAND; TERRA-NOVA BAY; SPATIAL VARIABILITY; METHANESULFONIC-ACID; FIRN LAYERS; SOUTH-POLE; ICE CORES; DOME-C; CHEMISTRY; GLACIOCHEMISTRY</t>
  </si>
  <si>
    <t>As part of the International Trans-Antarctic Scientific Expedition (ITASE) project, a traverse was carried out from November 2001 to January 2002 through Terre Adelie, George V Land, Oates Land and northern Victoria Land, for a total length of about 1875 km. The research goal is to determine the latitudinal and longitudinal variability of physical, chemical and isotopic parameters along three transects: one west-east transect (WE), following the 2150 m contour line (about 400 km inland of the Adelie, George V and Oates coasts), and two north-south transects (inland Terre Adelie and Oates Coast-Talos Dome-Victoria Land). The intersection between the WE and Oates Coast-Victoria Land transects is in the Talos Dome area. Along the traverse, eight 2 m deep snow pits were dug and sampled with a 2.5 cm depth resolution. For spatial variability, I m deep integrated samples were collected every 5 km (363 sampling sites). In the snow-pit stratigraphy, pronounced annual cycles, with summer maxima, were observed for nssSO(4)(2-), MSA, NO3- and H2O2. The seasonality of these chemical trace species was used in combination with stable-isotope stratigraphy to derive reliable and temporally representative snow-accumulation rates. The study of chemical, isotopic and accumulation-rate variability allowed the identification of a distribution pattern which is controlled not only by altitude and distance from the sea, but also by the complex circulation of air masses in the study area. In particular, although the Talos Dome area is almost equidistant from the Southern Ocean and the Ross Sea, local atmospheric circulation is such that the area is strongly affected only by the Ross Sea. Moreover, we observed a decrease in concentration of aerosol components in the central portion of the WE transect and in the southern portion of the Talos Dome transect; this decrease was linked to the higher stability of atmospheric pressure due to the channelling of katabatic winds.</t>
  </si>
  <si>
    <t>Univ Florence, Dept Chem, I-50019 Sesto Fiorenti, Italy; Museo Nazl Antartide, I-53100 Siena, Italy; Univ Trieste, Dept Geol Environm &amp; Marine, I-34127 Trieste, Italy; ENEA, Ctr Ric, I-00100 Rome, Italy; Univ Cagliari, Dept Earth Sci, I-09127 Cagliari, Italy</t>
  </si>
  <si>
    <t>University of Florence; University of Trieste; Italian National Agency New Technical Energy &amp; Sustainable Economics Development; University of Cagliari</t>
  </si>
  <si>
    <t>Univ Florence, Dept Chem, Via Lastruccia 3, I-50019 Sesto Fiorenti, Italy.</t>
  </si>
  <si>
    <t>silvia.becagli@unifi.it</t>
  </si>
  <si>
    <t>Udisti, Roberto/M-7966-2015; Becagli, Silvia/GNW-2665-2022; FREZZOTTI, Massimo/AAK-7275-2020; Severi, Mirko/J-2508-2012; Traversi, Rita/M-7586-2015</t>
  </si>
  <si>
    <t>Udisti, Roberto/0000-0003-4440-8238; FREZZOTTI, Massimo/0000-0002-2461-2883; Severi, Mirko/0000-0003-1511-6762; Proposito, Marco/0000-0002-5977-3003; Stenni, Barbara/0000-0003-4950-3664; Becagli, Silvia/0000-0003-3633-4849; Traversi, Rita/0000-0002-9790-2195</t>
  </si>
  <si>
    <t>10.3189/172756404781814636</t>
  </si>
  <si>
    <t>WOS:000232368400071</t>
  </si>
  <si>
    <t>Motta, L; Motta, M</t>
  </si>
  <si>
    <t>Distribution and pattern of shallow melting at the local glaciers of Terra Nova Bay (Antarctica) coast</t>
  </si>
  <si>
    <t>SNOW; ICE</t>
  </si>
  <si>
    <t>Melting is a fundamental process in glacier mass balance as well as in other glacial processes such as ice movement, ice avalanches and snow metamorphism. At Terra Nova Bay, Antarctica, the annual mean temperature is &lt;0 degrees C but melting is not negligible. Our data show that melting is present up to 1300 m a.s.l. The distribution and relative importance of melting change with elevation and exposure. At low elevation and with a southerly exposure, melting is one of the major summer ablation processes, synergetic with dry calving and katabatic wind. Meltwater seepage reaches the glacier substrate. Discharge appears to be linked to irradiation, offset by a few hours relative to it. The frontal area of the glaciers therefore behaves like an aquifer, and its characteristics depend on the morphology of the front. As elevation increases, melting at first becomes limited to the snowpack, then to low-albedo cases, for example when dust is brought in from the areas surrounding the glacier. in this case, melting limits ablation, providing the snow with increased resistance to wind erosion.</t>
  </si>
  <si>
    <t>Univ Turin, Dept Earth Sci, I-10125 Turin, Italy</t>
  </si>
  <si>
    <t>University of Turin</t>
  </si>
  <si>
    <t>Motta, L (corresponding author), Univ Turin, Dept Earth Sci, I-10125 Turin, Italy.</t>
  </si>
  <si>
    <t>michele.motta@unito.it</t>
  </si>
  <si>
    <t>Motta, Michele/KCK-2864-2024</t>
  </si>
  <si>
    <t>10.3189/172756404781814140</t>
  </si>
  <si>
    <t>WOS:000232368400072</t>
  </si>
  <si>
    <t>Royston-Bishop, G; Tranter, M; Siegert, MJ; Lee, V; Bates, PD</t>
  </si>
  <si>
    <t>Is Vostok lake in steady state?</t>
  </si>
  <si>
    <t>ANTARCTIC SUBGLACIAL LAKES; EAST ANTARCTICA; ICE-SHEET; CIRCULATION; REGION; ORIGIN</t>
  </si>
  <si>
    <t>Stable-isotope (delta D and delta O-18) data from the Vostok (East Antarctica) ice core are used to explore whether or not subglacial Vostok lake is in isotopic steady state. A simple box model shows that the lake is likely to be in steady state on time-scales of the order of 10(4)-10(5) years (three to four residence times of the water in the lake), given our current knowledge of north-south and east-west gradients in the stable-isotopic composition of precipitation in the vicinity of Vostok station and Ridge B. However, the lake may not be in perfect steady state depending on the precise location of the melting area, which determines the source region of inflowing ice, and on the magnitude of the east-west gradient in isotopic compositions in the vicinity of Vostok station and Ridge B.</t>
  </si>
  <si>
    <t>Univ Bristol, Bristol Glaciol Ctr, Sch Geog Sci, Bristol BSB 1SS, Avon, England</t>
  </si>
  <si>
    <t>Royston-Bishop, G (corresponding author), Univ Bristol, Bristol Glaciol Ctr, Sch Geog Sci, Bristol BSB 1SS, Avon, England.</t>
  </si>
  <si>
    <t>G.Royston-Bishop@Bristol.ac.uk</t>
  </si>
  <si>
    <t>Siegert, Martin J/A-3826-2008; Siegert, Martin/M-9939-2019; Bates, Paul/C-8026-2012; Tranter, Martyn/E-3722-2010</t>
  </si>
  <si>
    <t>Siegert, Martin J/0000-0002-0090-4806; Siegert, Martin/0000-0002-0090-4806; Bates, Paul/0000-0001-9192-9963; Tranter, Martyn/0000-0003-2071-3094</t>
  </si>
  <si>
    <t>Natural Environment Research Council [NER/B/S/2003/00762] Funding Source: researchfish</t>
  </si>
  <si>
    <t>10.3189/172756404781813853</t>
  </si>
  <si>
    <t>WOS:000232368400073</t>
  </si>
  <si>
    <t>Guglielmin, M; French, HM</t>
  </si>
  <si>
    <t>Ground ice in the Northern Foothills, northern Victoria Land, Antarctica</t>
  </si>
  <si>
    <t>GLACIER ICE; CANADA; PERMAFROST; SIBERIA; ISLAND</t>
  </si>
  <si>
    <t>This progress report classifies the different types of ground-ice bodies that occur in the Northern Foothills, northern Victoria Land, Antarctica. Oxygen isotope variations are presented, but interpretation is kept to a minimum pending further investigations. Surface ice, as distinct from moving glacier ice, occurs in the form of widespread buried ('dead') glacier ice lying beneath ablation (sublimation) till, together with perennial lake ice, snow banks and icing-blister ice. 'Dry' permafrost is uncommon, and interstitial ice is usually present at the base of the active layer and in the near-surface permafrost. This probably reflects the supply of moisture from the Ross Sea and limited sublimation under today's climate. Intrusive ice occurs as layers within perennial lake-ice covers and gives rise to small icing blisters. Small ice wedges found beneath the furrows of high-centered polygons appear to agree with the model of sublimation-till development proposed by Marchant and others (2002).</t>
  </si>
  <si>
    <t>Insubria Univ, Dept Struct &amp; Funct Biol, I-21100 Varese, Italy; Univ Ottawa, Carleton Geosci Ctr, Dept Geog &amp; Earth Sci, Ottawa, ON K1N 6N5, Canada</t>
  </si>
  <si>
    <t>University of Insubria; University of Ottawa</t>
  </si>
  <si>
    <t>Guglielmin, M (corresponding author), Insubria Univ, Dept Struct &amp; Funct Biol, Via JH Dunant 3, I-21100 Varese, Italy.</t>
  </si>
  <si>
    <t>10.3189/172756404781814726</t>
  </si>
  <si>
    <t>WOS:000232368400074</t>
  </si>
  <si>
    <t>Hori, A; Hondoh, T; Oguro, M; Lipenkov, VY</t>
  </si>
  <si>
    <t>Ice-lattice distortion along the deepest section of the Vostok core from X-ray diffraction measurements</t>
  </si>
  <si>
    <t>SUBGLACIAL LAKE VOSTOK; SINGLE-CRYSTALS; ANTARCTICA; TEXTURE</t>
  </si>
  <si>
    <t>We performed X-ray diffraction measurements on eight ice samples taken between 3200 and 3611 m depth of the Vostok (Antarctica) ice core to observe lattice distortions of ice crystals. Selected samples represent three distinct sections of the core: (i) glacier (meteoric) ice with well-preserved climatic record (down to 3310 m), (ii) 'shear zone' at the base of the glacier ice (34503537 m) within which the climatic record is disturbed by ice deformation, and (iii) accretion ice formed by freezing of subglacial Vostok lake waters at the base of the ice sheet (from about 3537 m depth to the bottom of the core). The dislocation density decreases from 1012 to 10(8) m(-2) with increasing depth. In the accretion ice, lattice distortion tends to decrease with depth. However, the dislocation density does not reach a level typical for laboratory-grown columnar ice even at 3610 m. This reflects plastic deformation which accretion ice has undergone after its formation.</t>
  </si>
  <si>
    <t>Hokkaido Univ, Inst Low Temp Sci, Sapporo, Hokkaido 0600819, Japan; Phys Lab, Hokkaido 070, Japan; Arctic &amp; Antarctic Res Inst, St Petersburg 199397, Russia</t>
  </si>
  <si>
    <t>Hokkaido University; Arctic &amp; Antarctic Research Institute</t>
  </si>
  <si>
    <t>Hori, A (corresponding author), Hokkaido Univ, Inst Low Temp Sci, Sapporo, Hokkaido 0600819, Japan.</t>
  </si>
  <si>
    <t>hori@hhp2.lowtem.hokudai.ac.jp</t>
  </si>
  <si>
    <t>Lipenkov, Vladimir/Q-8262-2016; HONDOH, Takeo/E-7551-2011</t>
  </si>
  <si>
    <t>Lipenkov, Vladimir/0000-0003-4221-5440; HONDOH, Takeo/0000-0003-4129-022X</t>
  </si>
  <si>
    <t>10.3189/172756404781814528</t>
  </si>
  <si>
    <t>WOS:000232368400075</t>
  </si>
  <si>
    <t>Rack, W; Rott, H</t>
  </si>
  <si>
    <t>Pattern of retreat and disintegration of the Larsen B ice shelf, Antarctic Peninsula</t>
  </si>
  <si>
    <t>COLLAPSE</t>
  </si>
  <si>
    <t>The retreat of the Larsen B ice shelf, Antarctic Peninsula, and the collapse of its northern section are analyzed using satellite images acquired between January 1995 and May 2003. Over 1 week during March 2002, after a period of steady retreat since 1995, 2300 km(2) of the ice shelf broke up into many small icebergs. This rapid collapse occurred at the end of an exceptionally warm summer, and after a multi-year period of decreasing surface net mass balance, ice thinning, flow acceleration and widening of rifts. The ice-shelf area decreased from 11512 km(2) in January 1995 to 3463 kM2 in March 2002, and 2667 km(2) in April 2003. ERS synthetic aperture radar (SAR) images were used to identify iceshelf zones with different surface morphology, which generated icebergs of different sizes and shapes. The pattern of retreat and break-up, similar to that of Larsen A in 1995, suggests that fracturing enhanced by abundant surface melt played a key role. In addition, the recent changes of grounded and residual floating ice north of Larsen B are analyzed by means of Envisat advanced synthetic aperture radar (ASAR) images up to summer 2003, showing significant loss of grounded ice upstream of those iceshelf sections which disintegrated in 1995 and 2002.</t>
  </si>
  <si>
    <t>Alfred Wegener Inst Polar &amp; Marine Res, D-27515 Bremerhaven, Germany; Univ Innsbruck, Inst Meteorol &amp; Geophys, A-6020 Innsbruck, Austria</t>
  </si>
  <si>
    <t>Helmholtz Association; Alfred Wegener Institute, Helmholtz Centre for Polar &amp; Marine Research; University of Innsbruck</t>
  </si>
  <si>
    <t>wrack@awi.bremerhaven.de</t>
  </si>
  <si>
    <t>Rack, Wolfgang/U-8898-2017</t>
  </si>
  <si>
    <t>Rack, Wolfgang/0000-0003-2447-377X</t>
  </si>
  <si>
    <t>10.3189/172756404781814005</t>
  </si>
  <si>
    <t>WOS:000232368400076</t>
  </si>
  <si>
    <t>Joughin, I; Vaughan, DG</t>
  </si>
  <si>
    <t>Marine ice beneath the Filchner-Ronne Ice Shelf, Antarctica: a comparison of estimated thickness distributions</t>
  </si>
  <si>
    <t>OCEAN INTERACTION; MASS-BALANCE; SHEET; IMAGERY; RADAR; MODEL</t>
  </si>
  <si>
    <t>In an earlier study, melt/freeze rates beneath most of the Filchner-Ronne Ice Shelf, Antarctica, were estimated using an assumption of a steady-state ice shelf applied to a velocity field derived from RADARSAT and ERS-1 interferometric synthetic aperture radar (InSAR) data and an ice-thickness map inferred from ERS-1 satellite radar altimeter data. Here, we use these basal accumulation rates and the InSAR velocity data to estimate the distribution and thickness of marine ice beneath the Filchner-Ronne Ice Shelf. These estimates are compared with a marine-ice thickness map derived from radio-echo sounding (RES) data and airborne radar altimetry. In general, we find close agreement between these estimates. In the few locations where there are significant differences, the discrepancies are largely attributable to artifacts in the radar-altimeter thickness map. With improvements such as a much smaller footprint, the next generation of altimeters should overcome many of these limitations, leading to improved marine-ice accumulation estimates. Overall, the good agreement with the RES data validates the InSAR-based estimates over much of the Ronne ice Shelf.</t>
  </si>
  <si>
    <t>CALTECH, Jet Prop Lab, Pasadena, CA 91109 USA; NERC, British Antarctic Survey, Cambridge CB3 0ET, England</t>
  </si>
  <si>
    <t>National Aeronautics &amp; Space Administration (NASA); NASA Jet Propulsion Laboratory (JPL); California Institute of Technology; UK Research &amp; Innovation (UKRI); Natural Environment Research Council (NERC); NERC British Antarctic Survey</t>
  </si>
  <si>
    <t>Univ Washington, Appl Phys Lab, Polar Sci Ctr, 1013 NE 40th St, Seattle, WA 98105 USA.</t>
  </si>
  <si>
    <t>ian@apl.washington.edu</t>
  </si>
  <si>
    <t>Joughin, Ian/AAR-7778-2021; Vaughan, David/C-8348-2011; Joughin, Ian R/A-2998-2008</t>
  </si>
  <si>
    <t>Joughin, Ian/0000-0001-6229-679X; Joughin, Ian R/0000-0001-6229-679X; Vaughan, David/0000-0002-9065-0570</t>
  </si>
  <si>
    <t>10.3189/172756404781814717</t>
  </si>
  <si>
    <t>WOS:000232368400077</t>
  </si>
  <si>
    <t>Neumann, K; Lyons, WB; Priscu, JC; Desmarais, DJ; Welch, KA</t>
  </si>
  <si>
    <t>The carbon isotopic composition of dissolved inorganic carbon in perennially ice-covered Antarctic lakes: searching for a biogenic signature</t>
  </si>
  <si>
    <t>MCMURDO DRY VALLEYS; TAYLOR VALLEY; FRYXELL; STREAMS; HOARE; GEOCHEMISTRY; ECOSYSTEMS; EVOLUTION; CANADA; VOSTOK</t>
  </si>
  <si>
    <t>The stable-isotopic signature of dissolved inorganic carbon (DIC) has been routinely used in temperate lake systems to investigate the biogeochemical dynamics of carbon. We studied seven perennially ice-covered lakes in the McMurdo Dry Valleys, Antarctica, to ascertain how carbon cycling affects the delta C-13 of DIC in water columns of these systems. Unlike temperate lakes and, in fact, most polar lake systems, the permanent ice covers of these lakes eliminate physical mixing (turnover) and hence redistribution of DIC in the lakes, as well as minimize CO2 exchange with the atmosphere. These important and unique physical constraints have significant impact on carbon dynamics in the lakes, and important consequences for the 813 C distribution. The geochemistry in these lakes is influenced in varying amounts by landscape position, hydrologic input and their evolutionary history. Five of these lakes (both lobes of Lake Bonney, and Lakes Fryxell, Miers and Vanda) have surface water delta C-13 ratios of 0-4 parts per thousand, Lake Hoare has more negative values, while Lake Joyce, the highest-elevation lake, has a much higher value (10.5 parts per thousand). All of the lakes have upper- to mid-depth delta C-13 maxima reflecting biological uptake of C-12. Only four of the lakes (Lakes Vanda, Joyce, Hoare and Fryxell) have deep waters with negative values of delta C-13, implying rigorous remineralization of 12 C at depth. Lake Miers, the only lake that is not closed basin, has the smallest delta C-13 variation with depth, indicating that hydrologic exchange greatly influences the delta C-13 signal.</t>
  </si>
  <si>
    <t>Ball State Univ, Dept Geol, Muncie, IN 47306 USA; Ohio State Univ, Byrd Polar Res Ctr, Columbus, OH 43210 USA; Montana State Univ, Land Resources &amp; Environm Sci, Bozeman, MT 59717 USA; NASA, Ames Res Ctr, Moffett Field, CA 94035 USA</t>
  </si>
  <si>
    <t>Ball State University; University System of Ohio; Ohio State University; Montana State University System; Montana State University Bozeman; National Aeronautics &amp; Space Administration (NASA); NASA Ames Research Center</t>
  </si>
  <si>
    <t>Neumann, K (corresponding author), Ball State Univ, Dept Geol, Muncie, IN 47306 USA.</t>
  </si>
  <si>
    <t>lyons.142@osu.edu</t>
  </si>
  <si>
    <t>Welch, Kathleen/0000-0003-1028-3086</t>
  </si>
  <si>
    <t>Directorate For Geosciences; Office of Polar Programs (OPP) [1041742] Funding Source: National Science Foundation; Office of Polar Programs (OPP); Directorate For Geosciences [0832755] Funding Source: National Science Foundation</t>
  </si>
  <si>
    <t>Directorate For Geosciences; Office of Polar Programs (OPP)(National Science Foundation (NSF)NSF - Directorate for Geosciences (GEO)); Office of Polar Programs (OPP); Directorate For Geosciences(National Science Foundation (NSF)NSF - Directorate for Geosciences (GEO))</t>
  </si>
  <si>
    <t>10.3189/172756404781814465</t>
  </si>
  <si>
    <t>WOS:000232368400078</t>
  </si>
  <si>
    <t>Rau, F; Mauz, F; De Angelis, H; Jaña, R; Neto, JA; Skvarca, P; Vogt, S; Saurer, H; Gossmann, H</t>
  </si>
  <si>
    <t>Variations of glacier frontal positions on the northern Antarctic Peninsula</t>
  </si>
  <si>
    <t>KING-GEORGE-ISLAND; CLIMATE-CHANGE; ICE SHELVES; VARIABILITY; PRECIPITATION; RETREAT</t>
  </si>
  <si>
    <t>Changes in the ice fronts on the Antarctic Peninsula north of 70 degrees S are currently being investigated through a comprehensive analysis of Advanced Spaceborne Thermal Emission and Reflection Radiometer (ASTER) and Landsat Thematic Mapper (TM) data as part of the international research initiative 'Global land Ice Measurements from Space' (GLIMS). Regional case studies are presented that cover a variety of glacial systems distributed over the northern Antarctic Peninsula and provide data on glacier front variations during the period 1986-2002. The results confirm a general trend of regional glacier front recession, but a range of different glacier variations are observed throughout the study area. Areas of predominant retreat are located in the northeastern and southwestern sectors, while stationary ice fronts characterize glacial behaviour on the northwestern coast of the peninsula. In addition, a significant increase in glacier recession is identified on James Ross Island, where retreat rates doubled during the period 1988-2001 compared to the previous investigation period, 1975-88. These observations are interpreted as being direct consequences of the rapidly changing climate in the region, which differentially affects the local accumulation and ablation patterns of the glacial systems.</t>
  </si>
  <si>
    <t>Univ Freiburg, Dept Phys Geog, D-79085 Freiburg, Germany; Inst Antart Argentino, RA-1010 Buenos Aires, DF, Argentina; Inst Antart Chileno, Santiago 16521, Chile; Univ Fed Rio Grande do Sul, Nucl Pesquisas Antarticas &amp; Climat, BR-91501970 Porto Alegre, RS, Brazil</t>
  </si>
  <si>
    <t>University of Freiburg; Instituto Antartico Argentino; Universidade Federal do Rio Grande do Sul</t>
  </si>
  <si>
    <t>Univ Freiburg, Dept Phys Geog, Werderring 4, D-79085 Freiburg, Germany.</t>
  </si>
  <si>
    <t>frank.rau@geographie.uni-freiburg.de</t>
  </si>
  <si>
    <t>De Angelis, Hernán/E-1352-2012; De Angelis, Hernán/AAD-9020-2019; Jaña, Ricardo/AAR-1225-2020</t>
  </si>
  <si>
    <t>De Angelis, Hernán/0000-0002-8584-272X; De Angelis, Hernán/0000-0002-8584-272X; Jaña, Ricardo/0000-0003-3319-1168; Arigony-Neto, Jorge/0000-0003-4848-2064</t>
  </si>
  <si>
    <t>10.3189/172756404781814212</t>
  </si>
  <si>
    <t>WOS:000232368400079</t>
  </si>
  <si>
    <t>Craven, M; Allison, I; Brand, R; Elcheikh, A; Hunter, J; Hemer, M; Donoghue, S</t>
  </si>
  <si>
    <t>Initial borehole results from the Amery Ice Shelf hot-water drilling project</t>
  </si>
  <si>
    <t>MARINE-ICE; EAST ANTARCTICA; PRYDZ BAY; SEA-ICE; BENEATH; CIRCULATION; COLLAPSE; GLACIER; RETREAT; RATES</t>
  </si>
  <si>
    <t>The Amery Ice Shelf Ocean Research (AMISOR) project aims to examine and quantify processes involved in the interaction between the ice shelf, the interior grounded ice and the oceanic water masses that circulate beneath it. Two boreholes were melted through the shelf, within 100 km of the calving front, to access the ocean cavity. One (AM02) was at a site where it was believed that basal melt was occurring, and the other (AM01) was in a region with accreted marine ice. At both sites the summertime ocean structure revealed meltwater-modified boundary layers up to 100m thick immediately beneath the shelf. Salinity and temperature data in the upper cavity at AM02 showed a strong seasonal cycle as a result of a combination of ice-shelf basal melt, and the intrusion of ocean water masses modified by sea-ice processes in Prydz Bay. At AM01, a 200 m thick layer of marine ice underlay the meteoric ice, and showed an increase in salinity and decrease in stable-isotope fractionation with depth. The lowest 100m of marine ice was highly permeable, with a rectangular banded textural facies. Other preliminary results from this study are also reported.</t>
  </si>
  <si>
    <t>CRC, Antarct ACE, Hobart, Tas 7001, Australia; Australian Antarctic Div, Hobart, Tas 7001, Australia; Natl Univ Ireland Univ Coll Galway, Martin Ryan Marine Inst, Galway, Ireland</t>
  </si>
  <si>
    <t>Australian Antarctic Division; Ollscoil na Gaillimhe-University of Galway</t>
  </si>
  <si>
    <t>Craven, M (corresponding author), CRC, Antarct ACE, Private Bag 80, Hobart, Tas 7001, Australia.</t>
  </si>
  <si>
    <t>m.craven@utas.edu.au</t>
  </si>
  <si>
    <t>Allison, Ian F/I-4477-2015; Hemer, Mark/M-1905-2013</t>
  </si>
  <si>
    <t>Allison, Ian F/0000-0001-9599-0251; Hemer, Mark/0000-0002-7725-3474</t>
  </si>
  <si>
    <t>10.3189/172756404781814311</t>
  </si>
  <si>
    <t>WOS:000232368400080</t>
  </si>
  <si>
    <t>Smith, BT; Van Ommen, TD; Curran, MAJ</t>
  </si>
  <si>
    <t>Methanesulphonic acid movement in solid ice cores</t>
  </si>
  <si>
    <t>COASTAL ANTARCTIC AEROSOL; METHANE SULFONIC-ACID; SEA-SALT SULFATE; LAW DOME; MIGRATION; SULFUR; RATIO; FIRN; SNOW</t>
  </si>
  <si>
    <t>Methanesulphonic acid (MSA) is an important trace-ion constituent in ice cores, with connections to biological activity and sea-ice distribution. Post-depositional movement of MSA has been documented in firn, and this study investigates movement in solid ice by measuring variations in MSA distribution across several horizontal sections from an ice core after 14.5 years storage. The core used is from below the bubble close-off depth at Dome Summit South, Law Dome, East Antarctica. MSA concentration was studied at 3 and 0.5 cm resolution across the core widths. Its distribution was uniform through the core centres, but the outer 3 cm showed gradients in concentrations down to less than half of the central value at the core edge. This effect is consistent with diffusion to the surrounding air during its 14.5 year storage. The diffusion coefficient is calculated to be 2 X 10(-13) m(2) s(-1), and the implications for the diffusion mechanism are discussed..</t>
  </si>
  <si>
    <t>Australian Antarctic Div, Dept Environm &amp; Heritage, Hobart, Tas 7001, Australia; CRC, Antarct Climate &amp; Ecosyst, Hobart, Tas 7001, Australia</t>
  </si>
  <si>
    <t>Smith, BT (corresponding author), Australian Antarctic Div, Dept Environm &amp; Heritage, Private Bag 80, Hobart, Tas 7001, Australia.</t>
  </si>
  <si>
    <t>Barbara.Smith@utas.edu.au</t>
  </si>
  <si>
    <t>10.3189/172756404781814645</t>
  </si>
  <si>
    <t>WOS:000232368400081</t>
  </si>
  <si>
    <t>Dixon, D; Mayewski, PA; Kaspari, S; Sneed, S; Handley, M</t>
  </si>
  <si>
    <t>A 200 year sub-annual record of sulfate in West Antarctica, from 16 ice cores</t>
  </si>
  <si>
    <t>SOUTH POLAR PLATEAU; SPATIAL VARIABILITY; VOLCANIC-ERUPTIONS; SNOW CHEMISTRY; SURFACE SNOW; AEROSOL; CLIMATE; GREENLAND; SULFUR; SHEET</t>
  </si>
  <si>
    <t>Sixteen high-resolution ice-core records from West Antarctica and South Pole are used to examine the spatial and temporal distribution of sulfate for the last 200 years. The preservation of seasonal layers throughout the length of each record results in a dating accuracy of better than 1 year based on known global-scale volcanic events. A dual transport source for West Antarctic sea-salt (ss) SO42- and excess (xs) SO42- is observed: lower-tropospheric for areas below 1000m elevation and mid-/upper-tropospheric/stratospheric for areas located above 1000m. Our XsSO(4)(2-) records with volcanic peaks removed do not display any evidence of an anthropogenic impact on West Antarctic SO42- concentrations but do reveal that a major climate transition takes place over West Antarctica at similar to 1940. Global-scale volcanic eruptions appear as significant peaks in the robust-spline residual xsSO(4)(2-) records from sites located above 1000 m elevation but do not appear in the residual records from sites located below 1000 m.</t>
  </si>
  <si>
    <t>Dixon, D (corresponding author), Univ Maine, Climate Change Inst, 303 Bryand Global Sci Ctr, Orono, ME 04469 USA.</t>
  </si>
  <si>
    <t>daniel.dixon@maine.edu</t>
  </si>
  <si>
    <t>10.3189/172756404781814113</t>
  </si>
  <si>
    <t>WOS:000232368400082</t>
  </si>
  <si>
    <t>Skvarca, P; De Angelis, H; Zakrajsek, AF</t>
  </si>
  <si>
    <t>Climatic conditions, mass balance and dynamics of Larsen B ice shelf, Antarctic Peninsula, prior to collapse</t>
  </si>
  <si>
    <t>RETREAT; DISINTEGRATION; SHEET; FIELD</t>
  </si>
  <si>
    <t>Following the collapse of Larsen A in 1995, about 3200 km(2) of Larsen R ice shelf disintegrated in early 2002 during the warmest summer recorded on the northeastern Antarctic Peninsula. Immediately prior to disintegration the last field campaign was carried out on Larsen B. Measurements included surface net mass balance, velocity and strain rate on a longitudinal transect along Crane Glacier flowline and over a remnant section confined within Seal Nunataks that survived the collapse. In addition, an automatic weather station located nearby allowed derivation of melt days relevant to the formation and extent of surface meltwater. Repeated surveys allowed us to detect a significant acceleration in ice-flow velocity and associated increasing strain rates along the longitudinal transect. It may be possible to use this acceleration as a predictor of imminent ice-shelf collapse, applicable to ice shelves subject to similar climatic conditions. Additional information on recent ongoing changes was provided by a visible satellite image acquired in early 2003.</t>
  </si>
  <si>
    <t>Inst Antart Argentino, RA-1010 Buenos Aires, DF, Argentina</t>
  </si>
  <si>
    <t>Inst Antart Argentino, Cerrito 1248, RA-1010 Buenos Aires, DF, Argentina.</t>
  </si>
  <si>
    <t>De Angelis, Hernán/AAD-9020-2019; De Angelis, Hernán/E-1352-2012</t>
  </si>
  <si>
    <t>10.3189/172756404781814573</t>
  </si>
  <si>
    <t>WOS:000232368400083</t>
  </si>
  <si>
    <t>Kawamura, T; Jeffries, MO; Tison, JL; Krouse, HR</t>
  </si>
  <si>
    <t>Superimposed-ice formation in summer on Ross Sea pack-ice floes</t>
  </si>
  <si>
    <t>WEDDELL SEA; SNOW-COVER; ANTARCTICA; BELLINGSHAUSEN; AMUNDSEN; GROWTH</t>
  </si>
  <si>
    <t>Austral summer sea-ice processes were investigated in January 1999 during a cruise of the R.V. Nathaniel B. Palmer in the central and eastern Ross Sea, Antarctica. The crystal texture, O-18/O-16 ratios, density and salinity of ice cores and of ice blocks 'perched' on slush at the ice surface were studied. The perched ice blocks had a distinctive polygonal granular (PG) crystal texture and very negative isotope signature that were also characteristic of layers at the top of first-year floes and of layers 'buried' below the surface in multi-year floes. The PG ice is superimposed ice that results from melting in the snow cover and refreezing at the slush surface and directly on top of ice floes. If PG ice is buried after the ice surface floods and the resultant slush freezes, then snow ice forms above the PG ice. The contribution of superimposed ice to floe surface mass balance and some implications with respect to weather and climate are discussed.</t>
  </si>
  <si>
    <t>Hokkaido Univ, Inst Low Temp Sci, Sapporo, Hokkaido 0600819, Japan; Univ Alaska Fairbanks, Inst Geophys, Fairbanks, AK 99775 USA; Univ Libre Brussels, Lab Glaciol, Dept Sci Terre &amp; Environm, Fac Sci, B-1050 Brussels, Belgium; Univ Calgary, Dept Phys &amp; Astron, Calgary, AB T2N 1N4, Canada</t>
  </si>
  <si>
    <t>Hokkaido University; University of Alaska System; University of Alaska Fairbanks; Universite Libre de Bruxelles; University of Calgary</t>
  </si>
  <si>
    <t>Hokkaido Univ, Inst Low Temp Sci, Sapporo, Hokkaido 0600819, Japan.</t>
  </si>
  <si>
    <t>kawat@lowtem.hokudai.ac.jp</t>
  </si>
  <si>
    <t>Tison, Jean-Louis/F-4065-2015</t>
  </si>
  <si>
    <t>Tison, Jean-Louis/0000-0002-9758-3454</t>
  </si>
  <si>
    <t>10.3189/172756404781814168</t>
  </si>
  <si>
    <t>WOS:000232368400084</t>
  </si>
  <si>
    <t>Ekaykin, AA; Lipenkov, VY; Kuzmina, IN; Petit, JR; Masson-Delmotte, V; Johnsen, SJ</t>
  </si>
  <si>
    <t>The changes in isotope composition and accumulation of snow at Vostok station, East Antarctica, over the past 200 years</t>
  </si>
  <si>
    <t>ICE CORES; SOUTHERN-HEMISPHERE; VARIABILITY; RECORD</t>
  </si>
  <si>
    <t>High-resolution records of isotope composition (8113) and accumulation of snow have been obtained from 10-12 m deep snow pits dug in the vicinity of Vostok station during the 1979/80 and 1999/2000 Antarctic field seasons. We employ meteorological, balloon-sounding and snow-stake data to interpret the isotope record in terms of past temperature changes. Our reconstruction suggests that snow accumulation rate and the near-surface air temperature at Vostok have varied during the past 200 years between 15 and 30 kg m(-2) a(-1), and between -56 and -55 degrees C, respectively, with a slight general tendency to increase from the past to the present. Both parameters reveal a 50 year periodicity that correlates with the Pacific Decadal Oscillation index, implying a climatic teleconnection between central Antarctica and the tropical Pacific.</t>
  </si>
  <si>
    <t>Arctic &amp; Antarctic Res Inst, St Petersburg 199397, Russia; CNRS, Lab Glaciol &amp; Geophys Environm, F-38402 St Martin Dheres, France; CE Saclay, Lab Sci Climat &amp; Environm, F-91191 Gif Sur Yvette, France; Niels Bohr Inst, DK-2100 Copenhagen, Denmark</t>
  </si>
  <si>
    <t>Arctic &amp; Antarctic Research Institute; Centre National de la Recherche Scientifique (CNRS); Universite Paris Saclay; CEA; Centre National de la Recherche Scientifique (CNRS); University of Copenhagen; Niels Bohr Institute</t>
  </si>
  <si>
    <t>Arctic &amp; Antarctic Res Inst, 38 Beringa St, St Petersburg 199397, Russia.</t>
  </si>
  <si>
    <t>ekaykin@aari.nw.ru</t>
  </si>
  <si>
    <t>Masson-Delmotte, Valerie L/G-1995-2011; Sokratova, Irina/A-6622-2011; Ekaykin, Alexey A./K-9894-2015; Lipenkov, Vladimir/Q-8262-2016</t>
  </si>
  <si>
    <t>Masson-Delmotte, Valerie L/0000-0001-8296-381X; Sokratova, Irina/0000-0002-6104-7414; Lipenkov, Vladimir/0000-0003-4221-5440</t>
  </si>
  <si>
    <t>10.3189/172756404781814348</t>
  </si>
  <si>
    <t>WOS:000232368400085</t>
  </si>
  <si>
    <t>Kohno, M; Fujii, Y; Hirata, T</t>
  </si>
  <si>
    <t>Chemical composition of volcanic glasses in visible tephra layers found in a 2503 m deep ice core from Dome Fuji, Antarctica</t>
  </si>
  <si>
    <t>VOSTOK; ASH; ERUPTION; SHEET</t>
  </si>
  <si>
    <t>Twenty-six ash layers were found in a 2503 m deep ice core from Dome Fuji station, East Antarctica. In order to gain information about the sources of ash particles found in the layers, major and trace element abundances have been measured. The particles found in 21 of the 26 layers were commonly a few tens of pm in size, suggesting that they originated from volcanoes located in and around the Antarctic. On the basis of comparison of the major-element compositions of these tephras with reference to volcanic rocks and ash, the tephras were divided into three types: (1) tholeiitic basalt to dacite, (2) calc-alkaline andesite, and (3) trachyandesite to trachyte. The source regions appear to be (1) South Sandwich Islands, Southern Ocean, (2) South Shetland islands, Antarctica, and/or a southern part of the volcanic zone of the Andes, and (3) Marie Byrd Land and/or Victoria Land, Antarctica, respectively. The tephras found in the other five ash layers were significantly smaller (&lt; 5 mu m), suggesting that they traveled over longer distances. Abundances of trace elements for the alkaline tephra collected from one layer revealed a possible genetic link to volcanic rocks from Marie Byrd Land. In order to correlate between ice cores from Dome Fuji and Vostok, Antarctica, which are widely separated, we found coeval ash layers serving as stratigraphic markers of Antarctic ice cores. A comparison of profiles of O-18/O-16 (delta O-18) and H-2/H-1 (delta D) for the Dome Fuji and Vostok cores indicates that eight ash layers are equivalent in the two cores. A clear correlation was found for the chemical compositions of six of these ash layers, indicating a high potential for key correlation beds between the deep ice cores from Dome Fuji and Vostok.</t>
  </si>
  <si>
    <t>Natl Inst Polar Res, Itabashi Ku, Tokyo 1738515, Japan; Tokyo Inst Technol, Tokyo 1528551, Japan</t>
  </si>
  <si>
    <t>Research Organization of Information &amp; Systems (ROIS); National Institute of Polar Research (NIPR) - Japan; Tokyo Institute of Technology</t>
  </si>
  <si>
    <t>Natl Inst Polar Res, Itabashi Ku, Tokyo 1738515, Japan.</t>
  </si>
  <si>
    <t>mkohno@pmg.nipr.ac.jp</t>
  </si>
  <si>
    <t>10.3189/172756404781813934</t>
  </si>
  <si>
    <t>WOS:000232368400086</t>
  </si>
  <si>
    <t>Kaspari, S; Mayewski, PA; Dixon, DA; Spikes, VB; Sneed, SB; Handley, MJ; Hamilton, GS</t>
  </si>
  <si>
    <t>Climate variability in West Antarctica derived from annual accumulation-rate records from ITASE firn/ice cores</t>
  </si>
  <si>
    <t>LAST 100 YEARS; SNOW ACCUMULATION; SOUTHERN-OSCILLATION; SURFACE SNOW; MASS-BALANCE; DEUTERIUM EXCESS; DYER PLATEAU; SIPLE DOME; ICE-SHEET; PRECIPITATION</t>
  </si>
  <si>
    <t>Thirteen annually resolved accumulation-rate records covering the last similar to 200 years from the Pine Island-Thwaites and Ross drainage systems and the South Pole are used to examine climate variability over West Antarctica. Accumulation is controlled spatially by the topography of the ice sheet, and temporally by changes in moisture transport and cyclonic activity. A comparison of mean accumulation since 1970 at each site to the long-term mean indicates an increase in accumulation for sites located in the western sector of the Pine Island-Thwaites drainage system. Accumulation is negatively associated with the Southern Oscillation Index (Sol) for sites near the ice divide, and periods of sustained negative Sol (1940-42, 1991-95) correspond to above-mean accumulation at most sites. Correlations of the accumulation-rate records with sea-level pressure (SLP) and the SOI suggest that accumulation near the ice divide and in the Ross drainage system may be associated with the midlatitudes. The post-1970 increase in accumulation coupled with strong SLP-accumulation-rate correlations near the coast suggests recent intensification of cyclonic activity in the Pine Island-Thwaites drainage system.</t>
  </si>
  <si>
    <t>Kaspari, S (corresponding author), Univ Maine, Climate Change Inst, 303 Bryand Global Sci Ctr, Orono, ME 04469 USA.</t>
  </si>
  <si>
    <t>susan.kaspari@maine.edu</t>
  </si>
  <si>
    <t>Mayewski, Paul Andrew/HRD-6969-2023; Hamilton, Gordon S/G-1679-2011</t>
  </si>
  <si>
    <t>10.3189/172756404781814447</t>
  </si>
  <si>
    <t>WOS:000232368400087</t>
  </si>
  <si>
    <t>Gunn, BF</t>
  </si>
  <si>
    <t>The phylogeny of the Cocoeae(Arecaceae) with emphasis on Cocos nucifera</t>
  </si>
  <si>
    <t>ANNALS OF THE MISSOURI BOTANICAL GARDEN</t>
  </si>
  <si>
    <t>Arecaceae; Cocoeae; coconut; Cocos; prk gene</t>
  </si>
  <si>
    <t>SEQUENCE DATA; PALMAE; ARECACEAE; DNA; MONOCOTYLEDONS; ATPB; RBCL</t>
  </si>
  <si>
    <t>The tribe Cocoeae contains economically important palms including Cocos nucifera, Elaeis guineensis, Attalea speciosa, and Bactris gasipaes. This study, based on the nuclear prk gene sequence, addresses the monophyly of the subtribes of Cocoeae, the closest of Cocos nucifera, and biogeographical implications of its distribution. The Cocoeae and divided into the spiny and non-spiny taxa. Molecular data alone suggest the Cocos nucifera did not originate in the western Pacific; it may be the only extant member of its lineage. Several Cocoeae fossils from New Zealand and India were used as calibration points to estimate times of divergence of clades. A hypothesis for the origin of the Cocos clade based on the phylogeny was postulated. It is hypothesized that Cocoaea orginated from South America, diversified and radiated eastward toward Africa, Madagascar, and India, and southward to Australia and New Zealandv via the Antarctic corridor. The estimated divergence dates were corroborated with major tectonic events.</t>
  </si>
  <si>
    <t>Missouri Bot Garden, Dept Appl Res, St Louis, MO 63166 USA</t>
  </si>
  <si>
    <t>Missouri Botanical Gardens</t>
  </si>
  <si>
    <t>Missouri Bot Garden, Dept Appl Res, Pob 299, St Louis, MO 63166 USA.</t>
  </si>
  <si>
    <t>bee.gunn@mobot.org</t>
  </si>
  <si>
    <t>Gunn, Bee/0000-0002-9591-3085</t>
  </si>
  <si>
    <t>MISSOURI BOTANICAL GARDEN</t>
  </si>
  <si>
    <t>ST LOUIS</t>
  </si>
  <si>
    <t>2345 TOWER GROVE AVENUE, ST LOUIS, MO 63110 USA</t>
  </si>
  <si>
    <t>0026-6493</t>
  </si>
  <si>
    <t>2162-4372</t>
  </si>
  <si>
    <t>ANN MO BOT GARD</t>
  </si>
  <si>
    <t>Ann. Mo. Bot. Gard.</t>
  </si>
  <si>
    <t>864UL</t>
  </si>
  <si>
    <t>WOS:000224658300012</t>
  </si>
  <si>
    <t>Cowan, DA; Tow, LA</t>
  </si>
  <si>
    <t>Endangered Antarctic environments</t>
  </si>
  <si>
    <t>ANNUAL REVIEW OF MICROBIOLOGY</t>
  </si>
  <si>
    <t>Antarctica; Dry Valleys; microbial communities; microbial endemism; climate change; environmental impact; ssu rRNA</t>
  </si>
  <si>
    <t>MCMURDO DRY VALLEYS; HYPERSALINE EKHO LAKE; RIBOSOMAL-RNA GENE; ICE-COVERED LAKE; SP-NOV; EAST ANTARCTICA; VICTORIA LAND; FRESH-WATER; SP. NOV.; SEA-ICE</t>
  </si>
  <si>
    <t>The Antarctic continent harbors a range of specialized and sometimes highly localized microbial biotopes. These include biotopes associated with desiccated mineral soils, rich ornithogenic soils, glacial and sea ice, ice-covered lakes, translucent rocks, and geothermally heated soils. All are characterized by the imposition of one or more environmental extremes (including low temperature, wide temperature fluctuations, desiccation, hypersalinity, high periodic radiation fluxes, and low nutrient status). As our understanding of the true microbial diversity in these biotopes expands from the application of molecular phylogenetic methods, we come closer to the point where we can make an accurate assessment of the impacts of environmental change, human intervention, and other natural and unnatural impositions. At present, it is possible to make reasonable predictions about the physical effects of local climate change, but only general predictions on possible changes in microbial community structure. The consequences of some direct human impacts, such as physical disruption of microbial soil communities, are obvious if not yet quantitated. Others, such as the dissemination of nonindigenous microorganisms into indigenous microbial communities, are not yet understood.</t>
  </si>
  <si>
    <t>Univ Western Cape, Dept Biotechnol, ZA-7535 Bellville, South Africa</t>
  </si>
  <si>
    <t>University of the Western Cape</t>
  </si>
  <si>
    <t>Univ Western Cape, Dept Biotechnol, ZA-7535 Bellville, South Africa.</t>
  </si>
  <si>
    <t>dcowan@uwc.ac.za; lahtow@uwc.ac.za</t>
  </si>
  <si>
    <t>Cowan, Donald A/E-3991-2012</t>
  </si>
  <si>
    <t>Cowan, Donald A/0000-0001-8059-861X</t>
  </si>
  <si>
    <t>ANNUAL REVIEWS</t>
  </si>
  <si>
    <t>PALO ALTO</t>
  </si>
  <si>
    <t>4139 EL CAMINO WAY, PO BOX 10139, PALO ALTO, CA 94303-0139 USA</t>
  </si>
  <si>
    <t>0066-4227</t>
  </si>
  <si>
    <t>1545-3251</t>
  </si>
  <si>
    <t>ANNU REV MICROBIOL</t>
  </si>
  <si>
    <t>Annu. Rev. Microbiol.</t>
  </si>
  <si>
    <t>10.1146/annurev.micro.57.030502.090811</t>
  </si>
  <si>
    <t>873YT</t>
  </si>
  <si>
    <t>WOS:000225318500025</t>
  </si>
  <si>
    <t>Dahlhoff, EP</t>
  </si>
  <si>
    <t>Biochemical indicators of stress and metabolism: Applications for marine ecological studies</t>
  </si>
  <si>
    <t>ANNUAL REVIEW OF PHYSIOLOGY</t>
  </si>
  <si>
    <t>RNA : DNA ratio; metabolic enzymes; marine physiological ecology; heat shock protein; climate change</t>
  </si>
  <si>
    <t>COD GADUS-MORHUA; RNA-DNA RATIO; ROCKY INTERTIDAL COMMUNITIES; HEAT-SHOCK PROTEINS; MYTILUS-EDULIS-L; FLOUNDER PARALICHTHYS-OLIVACEUS; BABBLERS TURDOIDES-SQUAMICEPS; ACCLIMATION-INDUCED VARIATION; ANTARCTIC MESOPELAGIC FISHES; FEEDING BIVALVE MOLLUSKS</t>
  </si>
  <si>
    <t>Studies investigating the effects of temperature, food availability, or other physical factors on the physiology of marine animals have led to the development of biochemical indicators of growth rate, metabolic condition, and physiological stress. Measurements of metabolic enzyme activity and RNA/DNA have been especially valuable as indicators of condition in studies of marine invertebrates and fishes, groups for which accurate determination of field metabolic rates is difficult. Properly calibrated and applied, biochemical indicators have been successfully used in studies of rocky intertidal ecology, where two decades of experimentation have generated rigorous, testable models for determining the relative influences of biotic and abiotic factors on species distribution, abundance, and interaction. Biochemical indicators of condition and metabolic activity (metabolic enzymes, RNA/DNA) have been used to test nutrient-productivity models by demonstrating tight linkages between nearshore oceanographic processes (such as upwelling) and benthic rocky intertidal ecosystems. Indices of condition and heat stress (heat shock proteins, or Hsps) have begun to be used to test environmental stress models by comparing condition, activity, and Hsp expression of key rocky intertidal predator and prey species. Using biochemical indicators of condition and stress in natural systems holds great promise for understanding mechanisms by which organisms respond to rapid environmental change.</t>
  </si>
  <si>
    <t>Santa Clara Univ, Dept Biol, Santa Clara, CA 95053 USA; Santa Clara Univ, Inst Environm Studies, Santa Clara, CA 95053 USA</t>
  </si>
  <si>
    <t>Santa Clara University; Santa Clara University</t>
  </si>
  <si>
    <t>Santa Clara Univ, Dept Biol, Santa Clara, CA 95053 USA.</t>
  </si>
  <si>
    <t>edahlhoff@scu.edu</t>
  </si>
  <si>
    <t>Dahlhoff, Elizabeth/AAI-1636-2020</t>
  </si>
  <si>
    <t>Dahlhoff, Elizabeth/0000-0002-7019-5005</t>
  </si>
  <si>
    <t>0066-4278</t>
  </si>
  <si>
    <t>1545-1585</t>
  </si>
  <si>
    <t>ANNU REV PHYSIOL</t>
  </si>
  <si>
    <t>Annu. Rev. Physiol.</t>
  </si>
  <si>
    <t>10.1146/annurev.physiol.66.032102.114509</t>
  </si>
  <si>
    <t>Physiology</t>
  </si>
  <si>
    <t>812GK</t>
  </si>
  <si>
    <t>WOS:000220827800009</t>
  </si>
  <si>
    <t>Miteva, VI; Sheridan, PP; Brenchley, JE</t>
  </si>
  <si>
    <t>Phylogenetic and physiological diversity of microorganisms isolated from a deep Greenland glacier ice core</t>
  </si>
  <si>
    <t>SENSITIVE PLATE ASSAY; BACTERIAL DIVERSITY; VIABLE BACTERIA; ANTARCTIC ICE; LIFE; LAKE; PSYCHROPHILES; PROKARYOTES; MICROFLORA; COMMUNITY</t>
  </si>
  <si>
    <t>We studied a sample from the GISP 2 (Greenland Ice Sheet Project) ice core to determine the diversity and survival of microorganisms trapped in the ice at least 120,000 years ago. Previously, we examined the phylogenetic relationships among 16S ribosomal DNA (rDNA) sequences in a clone library obtained by PCR amplification from genomic DNA extracted from anaerobic enrichments. Here we report the isolation of nearly 800 aerobic organisms that were grouped by morphology and amplified rDNA restriction analysis patterns to select isolates for further study. The phylogenetic analyses of 56 representative rDNA sequences showed that the isolates belonged to four major phylogenetic groups: the high-G+C gram-positives, low-G+C gram-positives, Proteobacteria, and the Cytophaga-Flavobacterium-Bacteroides group. The most abundant and diverse isolates were within the high-G+C gram-positive cluster that had not been represented in the clone library. The Jukes-Cantor evolutionary distance matrix results suggested that at least 7 isolates represent new species within characterized genera and that 49 are different strains of known species. The isolates were further categorized based on the isolation conditions, temperature range for growth, enzyme activity, antibiotic resistance, presence of plasmids, and strain-specific genomic variations. A significant observation with implications for the development of novel and more effective cultivation methods was that preliminary incubation in anaerobic and aerobic liquid prior to plating on agar media greatly increased the recovery of CFU from the ice core sample.</t>
  </si>
  <si>
    <t>Penn State Univ, Dept Biochem &amp; Mol Biol, S Frear Lab 211, University Pk, PA 16802 USA; Penn State Univ, NASA, Astrobiol Inst, University Pk, PA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</si>
  <si>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National Aeronautics &amp; Space Administration (NASA)</t>
  </si>
  <si>
    <t>Penn State Univ, Dept Biochem &amp; Mol Biol, S Frear Lab 211, University Pk, PA 16802 USA.</t>
  </si>
  <si>
    <t>vim1@psu.edu</t>
  </si>
  <si>
    <t>Miteva, Vanya/AAD-8254-2021</t>
  </si>
  <si>
    <t>10.1128/AEM.70.1.202-213.2004</t>
  </si>
  <si>
    <t>763RY</t>
  </si>
  <si>
    <t>WOS:000188115300025</t>
  </si>
  <si>
    <t>de los Ríos, A; Ascaso, C; Wierzchos, J; Fernández-Valiente, E; Quesada, A</t>
  </si>
  <si>
    <t>Microstructural characterization of cyanobacterial mats from the McMurdo Ice Shelf, Antarctica</t>
  </si>
  <si>
    <t>MICROBIAL MATS; FINE-STRUCTURE; LAKE BONNEY; MICROORGANISMS; GROWTH; PONDS; PHOTOSYNTHESIS; ORGANIZATION; MIGRATIONS; CONSORTIA</t>
  </si>
  <si>
    <t>The three-dimensional structures of two types of cyanobacterium-dominated microbial mats from meltwater ponds on the McMurdo Ice Shelf were as determined by using a broad suite of complementary techniques, including optical and fluorescence microscopy, confocal scanning laser microscopy, scanning electron microscopy with back-scattered electron-imaging mode, low-temperature scanning electron microscopy, and microanalyitical X-ray energy dispersive spectroscopy. By using a combination of the different in situ microscopic techniques, the Antarctic microbial mats were found to be structures with vertical stratification of groups of cyanobacteria and mineral sediments, high contents of extracellular polymeric substances, and large void spaces occupied by water. In cyanobacterium-rich layers, heterocystous nostocalean and nonheterocystous oscillatorialean taxa were the most abundant taxa and appeared to be intermixed with fine-size deposits of epicellular silica and calcium carbonate. Most of the cyanobacterial filaments had similar orientations in zones without sediment particles, but thin filaments were tangled among thicker filaments. The combination of the microscopic techniques used showed the relative positions of biological and mineral entities within the microbial mats and enabled some speculation about their interactions.</t>
  </si>
  <si>
    <t>CSIC, Ctr Ciencias Medioambientales, E-28006 Madrid, Spain; Univ Lleida, Serv Microscopia Elect, Lleida 25198, Spain; Univ Autonoma Madrid, Fac Ciencias, Dept Biol, E-28049 Madrid, Spain</t>
  </si>
  <si>
    <t>Consejo Superior de Investigaciones Cientificas (CSIC); CSIC - Centro de Ciencias Medioambientales (CCMA); Universitat de Lleida; Autonomous University of Madrid</t>
  </si>
  <si>
    <t>CSIC, Ctr Ciencias Medioambientales, C Serrano 115, E-28006 Madrid, Spain.</t>
  </si>
  <si>
    <t>arios@ccma.csic.es</t>
  </si>
  <si>
    <t>de los Rios, Asuncion/L-3694-2014; Quesada, Antonio/L-2430-2013; Ascaso, Carmen/F-5369-2011; Wierzchos, Jacek/F-7036-2011</t>
  </si>
  <si>
    <t>de los Rios, Asuncion/0000-0002-0266-3516; Quesada, Antonio/0000-0002-8913-5993; Ascaso, Carmen/0000-0001-9665-193X; Wierzchos, Jacek/0000-0003-3084-3837</t>
  </si>
  <si>
    <t>10.1128/AEM.70.1.569-580.2004</t>
  </si>
  <si>
    <t>WOS:000188115300071</t>
  </si>
  <si>
    <t>Sato, H; Tani, A; Fielding, AJ; Eaton, SS; Eaton, GR; Whitehead, NE; Ikeya, M</t>
  </si>
  <si>
    <t>Spatial distribution and formation of nitrate radical NO32- in Antarctic calcitic evaporates</t>
  </si>
  <si>
    <t>APPLIED MAGNETIC RESONANCE</t>
  </si>
  <si>
    <t>RELAXATION-TIMES; SPIN-RESONANCE; SPECTROMETER</t>
  </si>
  <si>
    <t>Nitrate radical NO32- in calcitic evaporate was discovered in Antarctica. The distribution and formation of nitrate radical NO32- in the calcite have been studied by pulse and continuous-wave electron spin resonance. In samples that had been annealed to destroy the NO32-, regeneration of the radical by gamma-rays or UV light indicated that the radical was formed by UV light (with wavelengths less than 340 nm) from solar rays, not by environmental radiation. The nonuniform spatial distribution of the nitrate radical, which was deduced from high ratios of local spin density to total spin density, suggests that the nitrate impurity was introduced into the calcium carbonate after carbonate grain formation. Formation of the carbonate-containing nitrate requires the presence of high amounts of nitrate and a dry climate. Formation of the nitrate radical requires sample exposure to UV light. These conditions are satisfied in the environment of Antarctica.</t>
  </si>
  <si>
    <t>Osaka Univ, Grad Sch Sci, Dept Earth &amp; Space Sci, Toyonaka, Osaka, Japan; Univ Denver, Dept Chem &amp; Biochem, Denver, CO USA; Inst Geol &amp; Nucl Sci, Lower Hutt, New Zealand</t>
  </si>
  <si>
    <t>Osaka University; University of Denver; GNS Science - New Zealand</t>
  </si>
  <si>
    <t>Sato, H (corresponding author), Osaka Univ, Grad Sch Sci, Dept Earth &amp; Space Sci, Toyonaka, Osaka, Japan.</t>
  </si>
  <si>
    <t>Kumar, Rishabh/P-4667-2017; Fielding, Alistair J./B-1987-2013; Fielding, Alistair J./AAR-3101-2021; Tani, Atsushi/A-9798-2008</t>
  </si>
  <si>
    <t>Fielding, Alistair J./0000-0002-4437-9791; Fielding, Alistair J./0000-0002-4437-9791; Eaton, Gareth R/0000-0001-7429-8469; Whitehead, Neil/0000-0002-2665-2555; Eaton, Sandra S/0000-0002-2731-7986; Tani, Atsushi/0000-0001-5788-2137</t>
  </si>
  <si>
    <t>SPRINGER WIEN</t>
  </si>
  <si>
    <t>WIEN</t>
  </si>
  <si>
    <t>SACHSENPLATZ 4-6, PO BOX 89, A-1201 WIEN, AUSTRIA</t>
  </si>
  <si>
    <t>0937-9347</t>
  </si>
  <si>
    <t>1613-7507</t>
  </si>
  <si>
    <t>APPL MAGN RESON</t>
  </si>
  <si>
    <t>Appl. Magn. Reson.</t>
  </si>
  <si>
    <t>10.1007/BF03166586</t>
  </si>
  <si>
    <t>Physics, Atomic, Molecular &amp; Chemical; Spectroscopy</t>
  </si>
  <si>
    <t>Physics; Spectroscopy</t>
  </si>
  <si>
    <t>861GN</t>
  </si>
  <si>
    <t>WOS:000224404200010</t>
  </si>
  <si>
    <t>Ashley, MCB; Burton, MG; Lawrence, JS; Storey, JWV</t>
  </si>
  <si>
    <t>Robotic telescopes on the Antarctic plateau</t>
  </si>
  <si>
    <t>ASTRONOMISCHE NACHRICHTEN</t>
  </si>
  <si>
    <t>3rd Potsdam Thinkshop Meeting on Robotic Astronomy</t>
  </si>
  <si>
    <t>JUL 12-15, 2004</t>
  </si>
  <si>
    <t>Potsdam, GERMANY</t>
  </si>
  <si>
    <t>telescopes; site testing; Earth; atmosphere; instrumentation; adaptive optics; instrumentation; high angular resolution</t>
  </si>
  <si>
    <t>SOUTH-POLE; OBSERVING CONDITIONS</t>
  </si>
  <si>
    <t>The high plateau that covers half of the continent of Antarctica contains the best astronomical observing sites on Earth. The infrared sky background is low, the precipitable water vapour is low, the sub-millimetre sky opacity is low, the winds are low, the atmosphere is exceedingly clear and stable, it never rains, there is no dust, it is geological stable, and the seeing at some sites, notably Dome C, is superb. The turbulence profile in the atmosphere is beneficial for adaptive optics, with fewer actuators and fewer deformable mirrors being required, and with significant correction being possible at visible wavelengths. For projects that require continuous monitoring, e.g., planet detection through micro-lensing, a single robotic telescope in Antarctica can replace a network of 4-6 telescopes placed around the world at mid-latitude sites. For many projects requiring large apertures, a given size telescope in Antarctica will outperform a telescope of 2-3 times the aperture at a mid-latitude site. We review what is known about the site conditions, and outline some of the issues involved with designing robotic telescopes to work in Antarctica.</t>
  </si>
  <si>
    <t>Ashley, MCB (corresponding author), Univ New S Wales, Sch Phys, Sydney, NSW 2052, Australia.</t>
  </si>
  <si>
    <t>m.ashley@unsw.edu.au</t>
  </si>
  <si>
    <t>Lawrence, Jon/0000-0002-6998-6993; Burton, Michael/0000-0001-7289-1998; Ashley, Michael/0000-0003-1412-2028</t>
  </si>
  <si>
    <t>0004-6337</t>
  </si>
  <si>
    <t>1521-3994</t>
  </si>
  <si>
    <t>ASTRON NACHR</t>
  </si>
  <si>
    <t>Astro. Nachr.</t>
  </si>
  <si>
    <t>6-8</t>
  </si>
  <si>
    <t>10.1002/asna.200410296</t>
  </si>
  <si>
    <t>870QK</t>
  </si>
  <si>
    <t>WOS:000225072700036</t>
  </si>
  <si>
    <t>Strassmeier, KG; Andersen, MI; Steinbach, M</t>
  </si>
  <si>
    <t>A robotic reflective Schmidt telescope for Dome C</t>
  </si>
  <si>
    <t>telescopes; robotic; techniques; wide field-CCD photometry; stars; activity; Antarctica (Dome C)</t>
  </si>
  <si>
    <t>This paper lays out a wide-field robotic Schmidt telescope (RST) for the Antarctic site Dome C. The telescope is based on 80/120 cm reflective Schmidt optics, built originally for a space project, and a mosaic of four 7.5k x 7.5 k 8-mum thinned CCDs from the PEPSI/LBT wafer run. The telescope's total field of view (FOV) would be 5degrees circular (minimum 3degrees x 3degrees square) with a plate scale of 0.7 arcsec per pixel. Limiting magnitude is expected to be V = 21.5 mag in 60 sec for a field of 9 square degrees.</t>
  </si>
  <si>
    <t>AIP, D-14482 Potsdam, Germany; Ingn Buro Steinbach Konitzer Lopez, D-07745 Jena, Germany</t>
  </si>
  <si>
    <t>Leibniz Institut fur Astrophysik Potsdam (AIP)</t>
  </si>
  <si>
    <t>Strassmeier, KG (corresponding author), AIP, Sternwarte 16, D-14482 Potsdam, Germany.</t>
  </si>
  <si>
    <t>kstrassmeier@aip.de</t>
  </si>
  <si>
    <t>Andersen, Michael/H-6403-2018</t>
  </si>
  <si>
    <t>PO BOX 10 11 61, D-69451 WEINHEIM, GERMANY</t>
  </si>
  <si>
    <t>10.1002/asna.200410303</t>
  </si>
  <si>
    <t>WOS:000225072700037</t>
  </si>
  <si>
    <t>Deeg, HJ; Alonso, R; Belmonte, JA; Horne, K; Alsubai, K; Cameron, A; Doyle, LR</t>
  </si>
  <si>
    <t>A prototype for the PASS permanent all sky survey</t>
  </si>
  <si>
    <t>instrumentation; photometers; planetary systems; stars; variables; general; surveys; techniques; photometric</t>
  </si>
  <si>
    <t>A prototype system for the Permanent All Sky Survey (PASS) project is presented. PASS is a continuous photometric survey of the entire celestial sphere with a high temporal resolution. Its major objectives are the detection of all giant-planet transits (with periods up to some weeks) across stars up to mag 10.5, and to deliver continuously photometry that is useful for the study of any variable stars. The prototype is based on CCD cameras with short focal length optics on a fixed mount. A small dome to house it at Teide Observatory, Tenerife, is currently being constructed. A placement at the antarctic Dome C is also being considered. The prototype will be used for a feasibility study of PASS, to define the best observing strategies, and to perform a detailed characterization of the capabilities and scope of the survey. Afterwards, a first partial sky surveying will be started with it. That first survey may be able to detect transiting planets during its first few hundred hours of operation. It will also deliver a data set around which software modules dealing with the various scientific objectives of PASS will be developed. The PASS project is still in its early phase and teams interested in specific scientific objectives, in providing technical expertise, or in participating with own observations are invited to collaborate.</t>
  </si>
  <si>
    <t>Inst Astrofis Canarias, E-38200 San Cristobal la Laguna, Spain; Univ St Andrews, Sch Phys &amp; Astron, St Andrews KY16 9SS, Fife, Scotland; SETI Inst, Mountain View, CA 94043 USA</t>
  </si>
  <si>
    <t>Instituto de Astrofisica de Canarias; University of St Andrews</t>
  </si>
  <si>
    <t>Deeg, HJ (corresponding author), Inst Astrofis Canarias, C Via Lactea S-N, E-38200 San Cristobal la Laguna, Spain.</t>
  </si>
  <si>
    <t>hdeeg@ll.iac.es</t>
  </si>
  <si>
    <t>Doyle, Lauren/HSH-8768-2023; Deeg, Hans J./AAB-1361-2019; Avilés, Juan Antonio Belmonte/AAE-4500-2019; Alonso, Roi/D-8799-2014</t>
  </si>
  <si>
    <t>Deeg, Hans J./0000-0003-0047-4241; Alonso, Roi/0000-0001-8462-8126; Cameron, Andrew/0000-0002-8863-7828; Alsubai, Khalid/0000-0001-6253-0179</t>
  </si>
  <si>
    <t>10.1002/asna.200410304</t>
  </si>
  <si>
    <t>WOS:000225072700040</t>
  </si>
  <si>
    <t>Di Rico, G; Di Varano, I; Pelusi, D; Ragni, M; Dolci, M; Valentini, G; Straniero, O; Corcione, L; Tosti, G; Busso, M</t>
  </si>
  <si>
    <t>The Antarctic Mid-Ir camera (AMICA) for the IRAIT telescope</t>
  </si>
  <si>
    <t>INAF, Osservatorio Astron Teramo, I-64100 Teramo, Italy; Univ Perugia, I-06123 Perugia, Italy; Osserv Astron Torino, INAF, I-10025 Pino Torinese, TO, Italy</t>
  </si>
  <si>
    <t>Istituto Nazionale Astrofisica (INAF); University of Perugia; University of Turin; Istituto Nazionale Astrofisica (INAF)</t>
  </si>
  <si>
    <t>Di Rico, G (corresponding author), INAF, Osservatorio Astron Teramo, Via M Maggini, I-64100 Teramo, Italy.</t>
  </si>
  <si>
    <t>dirico@te.astro.it</t>
  </si>
  <si>
    <t>Tosti, Gino/E-9976-2013; Busso, Maurizio Maria/K-7075-2015</t>
  </si>
  <si>
    <t>Tosti, Gino/0000-0002-0839-4126; Straniero, Oscar/0000-0002-5514-6125; Busso, Maurizio Maria/0000-0001-8944-5820; Dolci, Mauro/0000-0001-8000-5642; corcione, leonardo/0000-0002-6497-5881; Di Rico, Gianluca/0000-0002-5213-8269</t>
  </si>
  <si>
    <t>10.1002/asna.200410318</t>
  </si>
  <si>
    <t>WOS:000225072700055</t>
  </si>
  <si>
    <t>Martin, CL; Walsh, WM; Xiao, KC; Lane, AP; Walker, CK; Stark, AA</t>
  </si>
  <si>
    <t>The AST/RO survey of the galactic center region. I. The inner 3 degrees</t>
  </si>
  <si>
    <t>ASTROPHYSICAL JOURNAL SUPPLEMENT SERIES</t>
  </si>
  <si>
    <t>Galaxy : center; Galaxy : kinematics and dynamics; ISM : atoms; ISM : molecules; radio lines : ISM; surveys</t>
  </si>
  <si>
    <t>ANTARCTIC-SUBMILLIMETER-TELESCOPE; C-12/C-13 ISOTOPE RATIO; CENTER MOLECULAR CLOUDS; SCALE CO SURVEY; OH ABSORPTION; CARBON; GAS; ABUNDANCES; EMISSION; GALAXY</t>
  </si>
  <si>
    <t>We present fully sampled maps of 461 GHz CO J = 4 --&gt; 3, 807 GHz CO J = 7 --&gt; 6, and 492 GHz [C I] P-3(1) --&gt; P-3(0) emission from the inner 3 degrees of the Galactic center region taken with the Antarctic Submillimeter Telescope and Remote Observatory (AST/RO) in 2001 - 2002. The data cover -1.degrees3 &lt; l &lt; 2degrees, -0.degrees3 &lt; b &lt; 0.degrees2 with 0.'5 spacing, resulting in spectra in three transitions at over 24,000 positions on the sky. The CO J = 4 --&gt; 3 emission is found to be essentially coextensive with lower J transitions of CO. The CO J = 7 --&gt; 6 emission is spatially confined to a far smaller region than the lower J CO lines. The [C I] P-3(1) --&gt; P-3(0) emission has a spatial extent similar to the low-J CO emission but is more diffuse. Bright CO J = 7 --&gt; 6 emission is detected in the well-known Galactic center clouds Sgr A and Sgr B. We also detect CO J = 4 --&gt; 3 and CO J = 7 --&gt; 6 absorption from spiral arms in the Galactic disk at velocities near 0 km s(-1) along the line of sight to the Galactic center. Analyzing our CO J = 7 --&gt; 6 and CO J = 4 --&gt; 3 data in conjunction with J = 1 --&gt; 0 (CO)-C-12 and (CO)-C-13 data previously observed with the Bell Laboratories 7 m antenna, we apply a large velocity gradient (LVG) model to estimate the kinetic temperature and density of molecular gas in the inner 200 pc of the Galactic center region. We show maps of the derived distribution of gas density and kinetic temperature as a function of position and velocity for the entire region. Kinetic temperature was found to decrease from relatively high values (&gt; 70 K) at cloud edges to low values (&lt; 50 K) in the interiors. Typical gas pressures in the Galactic center gas are n(H-2) center dot T-kin similar to 10(5.2) K cm(-3). We present an (l, b) map of molecular hydrogen column density derived from our LVG results.</t>
  </si>
  <si>
    <t>Harvard Smithsonian Ctr Astrophys, Cambridge, MA 02138 USA; Univ Arizona, Steward Observ, Tucson, AZ 85721 USA</t>
  </si>
  <si>
    <t>Smithsonian Institution; Smithsonian Astrophysical Observatory; Harvard University; University of Arizona</t>
  </si>
  <si>
    <t>Harvard Smithsonian Ctr Astrophys, 60 Garden St,MS-12, Cambridge, MA 02138 USA.</t>
  </si>
  <si>
    <t>cmartin@cfa.harvard.edu; wwalsh@cfa.harvard.edu; kxiao@cfa.harvard.edu; adair@cfa.harvard.edu; cwalker@as.arizona.edu; aas@cfa.harvard.edu</t>
  </si>
  <si>
    <t>Stark, Antony/0000-0002-2718-9996; Martin, Christopher/0000-0002-8078-8859</t>
  </si>
  <si>
    <t>IOP PUBLISHING LTD</t>
  </si>
  <si>
    <t>BRISTOL</t>
  </si>
  <si>
    <t>TEMPLE CIRCUS, TEMPLE WAY, BRISTOL BS1 6BE, ENGLAND</t>
  </si>
  <si>
    <t>0067-0049</t>
  </si>
  <si>
    <t>1538-4365</t>
  </si>
  <si>
    <t>ASTROPHYS J SUPPL S</t>
  </si>
  <si>
    <t>Astrophys. J. Suppl. Ser.</t>
  </si>
  <si>
    <t>10.1086/379661</t>
  </si>
  <si>
    <t>768GM</t>
  </si>
  <si>
    <t>WOS:000188535300008</t>
  </si>
  <si>
    <t>Kirkman, SP; Bester, MN; Hofmeyr, GJG; Jonker, FC; Pistorius, PA; Owen, R; Strydom, N</t>
  </si>
  <si>
    <t>Variation in the timing of the breeding haulout of female southern elephant seals at Marion Island</t>
  </si>
  <si>
    <t>AUSTRALIAN JOURNAL OF ZOOLOGY</t>
  </si>
  <si>
    <t>ANTARCTIC FUR SEALS; MIROUNGA-LEONINA; ANNUAL CYCLE; GREY SEALS; POPULATION; AGE; SUCCESS; MOVEMENTS; PATTERNS; BIOLOGY</t>
  </si>
  <si>
    <t>Using data from an ongoing mark-resight program at Marion Island, we tested whether there is variation in the timing of the breeding haulout of female southern elephant seals, in relation to breeding experience. Females were classed as primiparous or multiparous according to their age and known life histories. The mean breeding season haulout date of primiparae was found to be significantly earlier than that of multiparae in nearly every year of the study. This was caused by differences in the timing of arrival, not by differences in the duration of tenure. In addition, in consecutive seasons, mean moulting and breeding haulout dates of individual females were shown to be significantly correlated. The results of our study fit well with our expectations, assuming that the nutritional condition at the time of the sensitive photoperiod phase affects the timing of implantation, because females in their first pregnancy generally moult sooner than post-parturient females and are likely to recover depleted reserves earlier.</t>
  </si>
  <si>
    <t>Univ Pretoria, Mammal Res Inst, Dept Zool &amp; Entomol, ZA-0002 Pretoria, South Africa; Univ Pretoria, Dept Stat, ZA-0002 Pretoria, South Africa</t>
  </si>
  <si>
    <t>University of Pretoria; University of Pretoria</t>
  </si>
  <si>
    <t>Univ Pretoria, Mammal Res Inst, Dept Zool &amp; Entomol, ZA-0002 Pretoria, South Africa.</t>
  </si>
  <si>
    <t>mnbester@zoology.up.ac.za</t>
  </si>
  <si>
    <t>Hofmeyr, G. J. Greg/AAV-3286-2020; Bester, Marthán N/E-5387-2010; Kirkman, Stephen/AAA-9139-2021</t>
  </si>
  <si>
    <t>Hofmeyr, G. J. Greg/0000-0003-0283-6058; Kirkman, Stephen/0000-0001-5428-7375; Pistorius, Pierre/0000-0001-6561-7069</t>
  </si>
  <si>
    <t>CSIRO PUBLISHING</t>
  </si>
  <si>
    <t>CLAYTON</t>
  </si>
  <si>
    <t>UNIPARK, BLDG 1, LEVEL 1, 195 WELLINGTON RD, LOCKED BAG 10, CLAYTON, VIC 3168, AUSTRALIA</t>
  </si>
  <si>
    <t>0004-959X</t>
  </si>
  <si>
    <t>1446-5698</t>
  </si>
  <si>
    <t>AUST J ZOOL</t>
  </si>
  <si>
    <t>Aust. J. Zool.</t>
  </si>
  <si>
    <t>10.1071/ZO03038</t>
  </si>
  <si>
    <t>852RG</t>
  </si>
  <si>
    <t>WOS:000223773500004</t>
  </si>
  <si>
    <t>Junge, K; Deming, JW; Eicken, H</t>
  </si>
  <si>
    <t>Norris, RP; Stootman, FH</t>
  </si>
  <si>
    <t>A microscopic approach to investigate bacteria under in-situ conditions in Arctic Lake ice: Initial comparisons to sea ice</t>
  </si>
  <si>
    <t>BIOASTRONOMY 2002: LIFE AMONG THE STARS</t>
  </si>
  <si>
    <t>IAU SYMPOSIA</t>
  </si>
  <si>
    <t>213th Symposium of the International-Astronomical-Union on Bioastronomy 2002</t>
  </si>
  <si>
    <t>JUL 08-12, 2002</t>
  </si>
  <si>
    <t>Hamilton Isl, AUSTRALIA</t>
  </si>
  <si>
    <t>ANTARCTIC LAKE; FREEZING-POINT; VOSTOK; LIFE; PSYCHROPHILES; TEMPERATURE; COMMUNITY; DIVERSITY; DYNAMICS</t>
  </si>
  <si>
    <t>To better understand constraints on bacteria at extremely low temperatures in ice, we describe here the adaptation of methods previously developed for sea ice to high magnification imaging of bacteria within fluid inclusions of Arctic lake ice under insitu conditions. Bacterial staining procedures, using the DNA-specific fluorescent stain DAPI, epifluorescence microscopy and image analysis were applied to lake-ice sections at in situ temperature (-5degreesC). Abundances of total, attached, free-living and metabolically active lake-ice bacteria were also determined from samples melted at 0degreesC using the fluorescent stains DAPI and CTC. Initial results indicate that, compared to sea ice at the same in situ temperature, lake ice contains fewer and more isolated liquid inclusions, limiting transport of fluids and motion of bacteria. Metabolically active cells were found in all ice samples (0.1 to 2.0% of the total counts), but on average less than in sea ice. Up to 50% of the total bacterial community were found to be associated with particles &gt; 3 mum in size; of the metabolically active cells, a smaller fraction may be attached than in sea ice. Our results expand the spectrum of information available on bacteria in ice on a scale relevant to the organism and provide insight into characteristics of frozen microbial habitats on Earth and perhaps elsewhere in the Universe.</t>
  </si>
  <si>
    <t>Univ Washington, Astrobiol Program, Sch Oceanog, Seattle, WA 98195 USA; Univ Alaska Fairbanks, Inst Geophys, Fairbanks, AK 99775 USA</t>
  </si>
  <si>
    <t>University of Washington; University of Washington Seattle; University of Alaska System; University of Alaska Fairbanks</t>
  </si>
  <si>
    <t>Junge, K (corresponding author), Univ Washington, Astrobiol Program, Sch Oceanog, Mail Box 357940, Seattle, WA 98195 USA.</t>
  </si>
  <si>
    <t>Eicken, Hajo/M-6901-2016</t>
  </si>
  <si>
    <t>ASTRONOMICAL SOC PACIFIC</t>
  </si>
  <si>
    <t>SAN FRANCISCO</t>
  </si>
  <si>
    <t>390 ASHTON AVE, SAN FRANCISCO, CA 94112 USA</t>
  </si>
  <si>
    <t>0074-1809</t>
  </si>
  <si>
    <t>1-58381-171-0</t>
  </si>
  <si>
    <t>IAU SYMP</t>
  </si>
  <si>
    <t>Astronomy &amp; Astrophysics; Biology</t>
  </si>
  <si>
    <t>Astronomy &amp; Astrophysics; Life Sciences &amp; Biomedicine - Other Topics</t>
  </si>
  <si>
    <t>BAS41</t>
  </si>
  <si>
    <t>WOS:000223367000070</t>
  </si>
  <si>
    <t>Rodhouse, PGK</t>
  </si>
  <si>
    <t>Werner, D</t>
  </si>
  <si>
    <t>Migration of fishery resources in the world's oceans</t>
  </si>
  <si>
    <t>BIOLOGICAL RESOURCES AND MIGRATION</t>
  </si>
  <si>
    <t>International Conference/OECD Workshop on Biological Resources and Migration</t>
  </si>
  <si>
    <t>OCT 05-08, 2003</t>
  </si>
  <si>
    <t>Philipps Univ, Marburg, GERMANY</t>
  </si>
  <si>
    <t>Philipps Univ</t>
  </si>
  <si>
    <t>ILLEX-ARGENTINUS CEPHALOPODA; OMMASTREPHIDAE; VARIABILITY; RECRUITMENT</t>
  </si>
  <si>
    <t>All fish, and other motile fishery resources, make migrations. These range from tens or hundreds of metres to large-scale oceanic migrations over thousands of kilometres. Migrations are usually cyclical over time scales from diurnal to annual or longer. Diurnal migrations are driven by the light/dark cycle and seem to have evolved to balance the requirement to feed against the risk of predation. The major seasonal migrations have evolved because of the differing habitat requirements for breeding and feeding, and in the oceans these migrations are linked to prevailing current patterns. There is considerable concern in world fisheries about the top-down effects of exploitation of marine resources because approximately one third of the world's fishery resources are either fully or over exploited. However, there are also bottom-up effects, driven by pollution and manifestations of global climate change, which are increasingly recognized to be important drivers of change in the world's fisheries. Changing ocean current systems at the surface which might be caused by global climate change have the potential to cause disruption of migration patterns and prevent the successful completion of life cycles. Bottom-up effects of variable environments on populations of migratory species such as Atlantic cod, Antarctic krill and shortfin squid have been identified and provide different kinds of examples of how changing oceanographic conditions can drive change in exploited stocks. Examples of this kind of variability provide valuable insights into the likely effects of large-scale ecological change on the world's fisheries.</t>
  </si>
  <si>
    <t>Rodhouse, PGK (corresponding author), British Antarctic Survey, High Cross,Madingley Rd, Cambridge CB3 0ET, England.</t>
  </si>
  <si>
    <t>pgkr2@bas.ac.uk</t>
  </si>
  <si>
    <t>SPRINGER-VERLAG BERLIN</t>
  </si>
  <si>
    <t>BERLIN</t>
  </si>
  <si>
    <t>HEIDELBERGER PLATZ 3, D-14197 BERLIN, GERMANY</t>
  </si>
  <si>
    <t>3-540-21470-4</t>
  </si>
  <si>
    <t>Agriculture, Multidisciplinary; Biology; Plant Sciences; Microbiology</t>
  </si>
  <si>
    <t>Agriculture; Life Sciences &amp; Biomedicine - Other Topics; Plant Sciences; Microbiology</t>
  </si>
  <si>
    <t>BAS30</t>
  </si>
  <si>
    <t>WOS:000223347700019</t>
  </si>
  <si>
    <t>Ferrario, M; Hernández-Becerril, DU; Garibotti, I</t>
  </si>
  <si>
    <t>Morphological study of the marine planktonic diatom Chaetoceros castracanei Karsten (Bacillariophyceae) from Antarctic waters, with a discussion on its possible taxonomic relationships</t>
  </si>
  <si>
    <t>BOTANICA MARINA</t>
  </si>
  <si>
    <t>Antarctica; Chaetoceros castracanei; diatoms; distribution; morphology</t>
  </si>
  <si>
    <t>Phytoplankton samples were collected along the north coast of the Antarctic peninsula, the Weddell Sea and the Gerlache Strait, in different seasons in 1985, 1986, 1999, and 2000-2002. Chaetoceros castracanei Karsten, a fairly rare species was present in the samples; its morphology, taxonomy and distribution have not been recently investigated. This species occurred mainly from January to April, and was recorded with relatively high abundances in the Weddell Sea (up to 9.5x10(4) cells l(-1)). C. castracanei forms straight or slightly curved, short to long chains, with the terminal and intercalary setae pointing in the same direction. The apertures are very reduced, centrally constricted, and there are numerous chloroplasts in the cells including the setae. Electron microscopy studies showed that valves are randomly perforated by round poroids, costae on the valve are absent, and an excentric rimoportula is present in every valve of the chain; the setae are circular in cross section at the base, but become foursided distally. Setae have perpendicular rows of elongate poroids, spines are arranged in spirals along the setae and the tips are very pointed. The intercalary setae are fused together in sibling valves. Chaetoceros impressus Jensen et Moestrup, recently described from Danish waters, appears to be conspecific with C. castracanei, and consequently we propose it as a synonym of the latter. The known distribution of Chaetoceros castracanei may be broadened to include Antarctic, subantarctic and Danish waters, and also possibly more temperate regions.</t>
  </si>
  <si>
    <t>Natl Autonomous Univ Mexico, Inst Ciencias Mar &amp; Limnol, Mexico City 04510, DF, Mexico; Fac Ciencias Nat &amp; Museo Plata, Dept Cient Ficol, RA-1900 La Plata, Argentina; CRICYT, IANIGLA, RA-5500 Mendoza, Argentina</t>
  </si>
  <si>
    <t>Universidad Nacional Autonoma de Mexico; Consejo Nacional de Investigaciones Cientificas y Tecnicas (CONICET); University Nacional Cuyo Mendoza</t>
  </si>
  <si>
    <t>dhernand@mar.icmyl.unam.mx</t>
  </si>
  <si>
    <t>WALTER DE GRUYTER GMBH</t>
  </si>
  <si>
    <t>GENTHINER STRASSE 13, D-10785 BERLIN, GERMANY</t>
  </si>
  <si>
    <t>0006-8055</t>
  </si>
  <si>
    <t>1437-4323</t>
  </si>
  <si>
    <t>BOT MAR</t>
  </si>
  <si>
    <t>Bot. Marina</t>
  </si>
  <si>
    <t>10.1515/BOT.2004.041</t>
  </si>
  <si>
    <t>849QV</t>
  </si>
  <si>
    <t>WOS:000223556000011</t>
  </si>
  <si>
    <t>Beslier, MO; Royer, JY; Girardeau, J; Hill, PJ; Boeuf, E; Buchanan, C; Chatin, F; Jacovetti, G; Moreau, A; Munschy, M; Partouche, C; Robert, U; Thomas, S</t>
  </si>
  <si>
    <t>A wide ocean-continent transition along the south-west Australian margin: first results of the MARGAU/MD110 cruise</t>
  </si>
  <si>
    <t>BULLETIN DE LA SOCIETE GEOLOGIQUE DE FRANCE</t>
  </si>
  <si>
    <t>French</t>
  </si>
  <si>
    <t>continental margin; continent-ocean transition; mantle exhumation; periodotite-gabbro-basalt; southwest Australia; Diamantina Zone; Naturaliste Plateau</t>
  </si>
  <si>
    <t>MANTLE EXHUMATION; INDIAN-OCEAN; NATURALISTE PLATEAU; NORTH-ATLANTIC; ANTARCTICA; MAGMATISM; GALICIA; KINEMATICS; ANOMALIES; EVOLUTION</t>
  </si>
  <si>
    <t>Introduction and geodynamic setting. - Syn-rift exhumation of mantle rocks in a continental break-up zone was highlighted along the present-day west Iberian passive margin [e.g. Boillot et al. 1988, 1995; Whitmarsh et al.. 1995, 2001; Beslier et al., 1996; Brun and Beslier, 1996; Boillot and Coulon, 1998; Krawczyk et al., 1996: Girardeau et al., 1998] and along the fossil Tethyan margins [e.g. Froitzheim and Manatschal. 1996; Manatschal and Bernoulli, 1996: Marroni et al., 1998: Muntener et al., 2000; Desmurs et al., 2001]. Along the west Iberian margin, serpentinized peridotite and scarce gabbro and basalt lay directly under the sediments, over a 30 to 130 km-wide transition between the thinned continental crust and the first oceanic crust [Girardeau et al., 1988, 1998: Kornprobst and Tabit, 1988:Boillot et al., 1989; Beslier et al., 1990, 1996: Cornen et al., 1999]. The formation of a wide ocean-continent transition (OCT), mostly controlled by tectonics and associated with an exhumation of deep lithospheric levels, would be an essential stage of continental breakup and a characteristic of magma-poor passive margins. The Southwest Australian margin provides an opportunity to test and to generalize the models proposed for the west Iberian margin, as both margins present many analogies. The south Australian margin formed during, the Gondwana breakup in the Mesozoic, along a NW-SE oblique extension direction [Willcox and Stagg. 1990]. From north to South, the continental slope is bounded by (1) a magnetic S quiet zone (MQZ) where the nature of the basement is ambiguous [Talwani et al., 1979: Tikku and Cande, 1999; Sayers et al., 2001], (2) a zone where the basement shows a rough topography associated with poorly expressed magnetic anomalies [Cande and Mutter, 1982: Veevers et al., 1990; Tikku and Cande, 1999; Sayers et al.. 2001]. and which is the eastward prolongation of the Diamantina Zone, and (3) an Eocene oceanic domain. The continental breakup zone is believed to be located near or at the southern edge of the MQZ [Cande and Mutter, 1982 Veevers et al.. 1990: Sayers et al., 2001]. Breakup is dated at 125 Ma [Stagg and Willcox, 19921, 95 +/- 5 Ma [Veevers, 1986] or at 83 Ma [Sayers et al., 2001]. and followed by ultra-slow seafloor spreading until the Eocene (43 Ma), and fast spreading afterwards [Weissel and Hayes, 1972: Cande and Mutter, 1982; Veevers et al., 1990; Tikku and Cande, 1999]. The western end of the margin (fig. 1) is starved and bounded in the OCT by basement ridges where peridotite, gabbro and basalt were previously dredged [Nicholls et al., 1981]. Altimetry data [Sandwell Lind Smith, 1997] show that some of these ridges are continuous over 1500 km along the OCT of the south Australian margin and of the conjugate Antarctic margin. The objectives of the MARGAU/MD110 cruise (May-June 1998; [Royer et al., 1998]; fig. 2) were to define the morpho-structure and the nature and evolution of the basement in the SW Australian OCT. An area of 180 000 km(2) was explored with swath bathymetry. Gravimetric data (11382 km) were simultaneously recorded whereas few single channel seismic (1353 km) and magnetic (5387 km) data were obtained due to technical difficulties. Crystalline basement rocks, made of varied and locally well-preserved lithologies, were dredged at 11 sites located on structural highs. Main results. - The bathymetric map unveils three E-W domains (fig. 2). From north to South, they are the continental slope of Australia, prolonged westward by that of the Naturaliste Plateau, a 160 km-wide intermediate flat sedimented area corresponding to the MQZ, and a 100 km-wide zone of rough E-W oriented topography which continues the Diamantina Zone (fig. 3). The first two domains are cut through in three segments by two major fracture zones (FZ), the Leeuwin FZ along the eastern side of the Naturaliste Plateau, and the Naturaliste FZ along its western flank. These NW-SE trending FZ terminate north of the E-W trending fabric of the Diamantina Zone. Accordingly, extension occurred along the NW-SE direction during, the formation of the slope and of the MQZ, and then turned to N-S during the formation of the Diamantina Zone. In the Diamantina Zone, the mantle rocks dredged at Site MG-DR02 are mainly lherzolites, rich in pyroxenitic micro-layers, and pyroxenites. They contain spinel rimmed by plagioclase and locally coronas of olivine + plagioclase between opx and spinel, which suggest that they underwent some subsolidus reequilibration in the plagioclase field (fig. 4C). Westward (Site DR09), the mantle rocks are harzburgitic, with lesser pyroxenitic bandings and no plagioclase. The rocks have coarse-grained porphyroclastic textures that are locally overprinted by narrow mylonitic shear bands, and then by a cataclastic deformation, which indicate decreasing temperatures and increasing stresses during their evolution. Basalts were sampled at Sites MG-DR01, -04, -05, and together with gabbros at Sites MG-DR02, -03, -09. They have a transitional composition as shown by their REE patterns, except one sample from site MG-DR-05, which is an alkaline basalt (fig. 5). The gabbros are clearly intrusive in the peridotite at Sites DR02 and -09. They contain olivine and clinopyroxene (cpx) at Site DR02, cpx, plagioclase and hornblende at Site DR03, and cpx and amphibole or orthopyroxene or olivine at site DR09 (fig. 4D). At that site, a tonalite containing K-feldspar and biotite and alkaline in composition (fig. 5), has also been sampled. All these plutonic rocks display either their primary magmatic textures or secondary porphyroclastic ones that are locally overprinted by rnylonitic shear zones (fig. 4E). Retrograde minerals of amphibolite to greenschist facies developed during the deformation. The basalts are clearly intrusive in the gabbros at Site DR03. They are altered and exhibit porphyric textures with abundant plagioclase and plagioclase + olivine phenocrysts at Sites DR03, -04, -08, -10, and have a transitional composition (fig. 5). The nature and evolution of the peridotites and associated gabbros are compatible with an exhumation under a rift zone, on both sides of the Leeuwin FZ. It includes a mylonitic deformation which attests that these rocks underwent a shearing deformation under lithosplieric conditions, in probable relation with their exhumation during the early stages of the oceanic opening. The crustal rocks are represented only by intrusive gabbros and by transitional basalts. In the MQZ, the peridotites recovered Lit Site MG-DR06 are mainly spinel and plagioclase lherzolites (fig. 413) and a few pyroxenites (fig. 4A) with high temperature porphyroclastic textures. Their discovery indicates that the basement in the MQZ is not exclusively formed of thinned continental Crust. Lavas sampled westward of the Leeuwin FZ at Site DR10 have also transitional compositions (fig. 5). On the Australian slope, samples dredged at Site MG-DR07 are continental quartz-bearing rocks (mostly gneisses and rare granites), some showing a high grade paragenesis (upper amphibolite to granulite facies) marked by the presence of K-feldspar, biotite, sillimanite and/or kyanite Lind garnet, and without primary muscovite (fig. 4G). Some of these rocks underwent an intense mylonitic shear deformation followed by post-tectonic recrystallisation or migmatization. Depending on the age of the high grade evolution (metamorphism and shearing), these rocks document either the syn-rift exhumation of lower continental Crust, or the formation of the older Australian craton. On the slope of the Naturaliste Plateau, at Site DR11, rocks of oceanic origin (gabbro-diorites/dolerite/basalt fig. 4F) were dredged together with acid rocks (gneiss and granites) of probable continental origin, some having a quartz K-feldspar, biotite and garnet metamorphic paragenesis (fig. 4H). At that site, the transitional basalts intrude the gabbros and associated dolerites. The presence of metamorphic acid rocks indicate that the Naturaliste Plateau is likely a continental fragment that was later intruded by mafic rocks, whose origin and ages of intrusion have to be determined. Discussion and conclusions. - The retrograde tectono-metamorphic evolution of the peridotites recovered in the MQZ, which includes a reequilibration in the plagioclase field (marked by the development of olivine and plagioclase after spinel and pyroxene), is compatible with an exhumation under a rift zone [Girardeau et al., 1988,- Kornprobst and Tabit, 1988 Cornen et al., 1999]. By analogy with the Iberia Abyssal Plain, the MQZ could represent a wide OCT where the mantle was exhumed and stretched mostly by amagmatic extension before the initiation of oceanic accretion [Beslier et al., 1996; Boillot and Coulon. 1998] (fig. 6). This hypothesis is supported by the tectonic structures (horsts and grabens) imaged in the seismic data over the MQZ [Boeuf and Doust, 1975]. Accordingly, the limit of the continental crust would be located at the foot of the slope, i.e. 160 km (or 250 km in the NW-SE extension direction) northward of the assumed location of the OCT at the southern edge of the MQZ. The age of the Australia-Antarctic breakup would thus be (1) older than that inferred from the magnetic anomalies (circa 95 Ma [Cande and Mutier, 1982: Veevers, 1986]). which would rather date the onset of oceanic accretion, and (2) older than the age of the breakup unconformity estimated as Santonian (83 Ma). further east. in the Great Australian Bight [Savers et al., 2001]. The origin of the Naturaliste Plateau, continental or oceanic, is still disputed. The discovery of metamorphic rocks of probable continental origin on the Southern flank of the Plateau (Site DR11) shows that it consists at least partially of rocks of the Gondwana continent. All the samples from the Diamantina Zone confirm that its basement is made of a peridotite-gabbro-basalt assemblage. The nature and age of the peridotites and of the associated magmas will help understanding the origin of this domain, which can result either from Neocomian seafloor spreading with further remobilization during the Australia-Antarctic separation, or from post-Neocomian ultra-slow seafloor spreading. Because of the omnipresence of extensive tectonic structures (fig. 3) and of the relatively small proportion of crustal rocks relative to the mantle rocks, we argue that the formation of the Diamantina Zone was mainly controlled by tectonics rather than by magmatic process. In conclusion, the data collected along the southwest Australian margin during the MARGAU/MD110 purvey evidence two major tectonic phases with formation of a wide OCT where abundant mantle rocks, in association with few mafic rocks. outcrop or lay directly beneath the sediments. The evolution of the crystalline rocks is compatible with an exhumation under a rift zone during a phase of magma-poor extension primarily controlled by tectonic processes. The domains where basement highs were sampled seem to be continuous over more than 1500 km eastward along the south Australian margin. Additional evidence on such large-scale structural continuity and on the nature of the associated basement highs may help generalizing the models for continental break-up and formation of non-volcanic passive margins, where oceanic accretion does not immediately follow continental breakup.</t>
  </si>
  <si>
    <t>CNRS Geosci Azur, UMr 6526, OOV, F-06235 Villefranche Sur Mer, France; IUEM, UMR 6538, CNRS, F-29280 Plouzane, France; Univ Nantes, Lab Planetol &amp; Geodynam, UMR 6112, CNRS, F-92208 Nantes 03, France; Geosci Australia Marine &amp; Petr, Canberra, ACT 2601, Australia; EOST, UMR 7516, F-67084 Strasbourg, France; UPMC, Dept Petr, F-75252 Paris 5, France</t>
  </si>
  <si>
    <t>Centre National de la Recherche Scientifique (CNRS); Universite de Bretagne Occidentale; Institut Universitaire Europeen de la Mer (IUEM); Centre National de la Recherche Scientifique (CNRS); CNRS - National Institute for Earth Sciences &amp; Astronomy (INSU); Nantes Universite; Centre National de la Recherche Scientifique (CNRS); Geoscience Australia; Centre National de la Recherche Scientifique (CNRS); CNRS - National Institute for Earth Sciences &amp; Astronomy (INSU); Universites de Strasbourg Etablissements Associes; Universite de Strasbourg; Sorbonne Universite</t>
  </si>
  <si>
    <t>CNRS Geosci Azur, UMr 6526, OOV, BP 48, F-06235 Villefranche Sur Mer, France.</t>
  </si>
  <si>
    <t>beslier@obs-vlfr.fr</t>
  </si>
  <si>
    <t>Royer, Jean-Yves/B-4312-2010; Munschy, Marc/F-1221-2017</t>
  </si>
  <si>
    <t>Royer, Jean-Yves/0000-0002-7653-7715; Munschy, Marc/0000-0003-1239-3326</t>
  </si>
  <si>
    <t>EDP SCIENCES S A</t>
  </si>
  <si>
    <t>LES ULIS CEDEX A</t>
  </si>
  <si>
    <t>17, AVE DU HOGGAR, PA COURTABOEUF, BP 112, F-91944 LES ULIS CEDEX A, FRANCE</t>
  </si>
  <si>
    <t>0037-9409</t>
  </si>
  <si>
    <t>1777-5817</t>
  </si>
  <si>
    <t>B SOC GEOL FR</t>
  </si>
  <si>
    <t>Bull. Soc. Geol. Fr.</t>
  </si>
  <si>
    <t>10.2113/175.6.629</t>
  </si>
  <si>
    <t>892VB</t>
  </si>
  <si>
    <t>WOS:000226677000008</t>
  </si>
  <si>
    <t>De Jong, L; Jean, S; Moreau, X</t>
  </si>
  <si>
    <t>The digestive system of Euphausia krohni (Crustacea, Euphausiacea):: functional morphology and phylogenetic relevance</t>
  </si>
  <si>
    <t>CAHIERS DE BIOLOGIE MARINE</t>
  </si>
  <si>
    <t>ultrastructure; labrum; foregut; F-cells; Crustacea; Euphausiacea</t>
  </si>
  <si>
    <t>ANTARCTIC KRILL; LABRAL GLANDS; LOPHOGASTRIDA CRUSTACEA; MYSIDACEA; SUPERBA; MANDIBLES; CALANOIDA; MECHANISM; FAMILIES; STOMACH</t>
  </si>
  <si>
    <t>This report deals with the structure and Ultrastructure of the labrum, foregut, midgut and midgut gland of Euphausia krohni. The labrum appears to play a major role in the first step of the digestive process. It is involved in both mechanical and chemical breakdown of the food. Structural, ultrastructural and. cytochemical data on the labrum reveal similarities with the labrum of the primitive Mysidacea Lophogaster typicus (Lophogastrida). The foregut acts predominantly in triturating the food and in separating fine particles and fluids from coarse material by filters. Morphological features indicate that the foregut of euphausiids might have evolved from the same ancestral morphological type as the mysidaceans. i.e. close to Gnathophausia gracilis (Lophogastrida). The midgut exhibits typical ultrastructural features known in the Malacostraca, i.e. an epithelium composed of a single cell type which is implicated in absorption and production of peritrophic membranes. The midgut gland exhibits F-cells, considered to secrete enzymes in Decapoda, and not truly evidenced in the Mysidacea. Therefore, this study Suggests that the digestive system of Euphausiacea has both primitive features evidenced in the lower Malacostraca (Lophogastrida), and also evolved ones found in the higher Malacostraca (Decapoda).</t>
  </si>
  <si>
    <t>Univ Aix Marseille 1, Lab Biol Anim Plancton, F-13331 Marseille 3, France</t>
  </si>
  <si>
    <t>Aix-Marseille Universite</t>
  </si>
  <si>
    <t>De Jong, L (corresponding author), Univ Aix Marseille 1, Lab Biol Anim Plancton, F-13331 Marseille 3, France.</t>
  </si>
  <si>
    <t>moreau_x0802@hotmail.com</t>
  </si>
  <si>
    <t>ROSCOFF</t>
  </si>
  <si>
    <t>STATION BIOLOGIQUE PLACE GEORGES TEISSIER, 29680 ROSCOFF, FRANCE</t>
  </si>
  <si>
    <t>0007-9723</t>
  </si>
  <si>
    <t>2262-3094</t>
  </si>
  <si>
    <t>CAH BIOL MAR</t>
  </si>
  <si>
    <t>Cah. Biol. Mar.</t>
  </si>
  <si>
    <t>818QU</t>
  </si>
  <si>
    <t>WOS:000221260400006</t>
  </si>
  <si>
    <t>Ríos, P; Cristobo, FJ; Urgorri, V</t>
  </si>
  <si>
    <t>Poecilosclerida (Porifera, Demospongiae) collected by the spanish antarctic expedition BENTART-94</t>
  </si>
  <si>
    <t>Porifera; Antarctica; Demospongiae; Poecilosclerida; BENTART</t>
  </si>
  <si>
    <t>SPONGES</t>
  </si>
  <si>
    <t>Two new species of Poecilosclerida Iophon hesperidesi sp. nov. (Iophonidae) and Isodictya bentarti sp. nov. (Isodictyidae) are described from material collected during the first Spanish expedition on the study of the Antarctic benthos, Bentart '94. A total of 67 individuals of Poecilosclerida (Demospongiae) were examined, corresponding to 14 species, 9,genera and 8 families. The individuals were collected from 13 stations in muddy sand, mud, stones, rocks, gravel and mixed sediment, at depths of 15 to 396 m. The specimens were collected by scuba diving, Van Veen dredge and rock dredge, on board the Hesperides.</t>
  </si>
  <si>
    <t>Univ Santiago Compostela, Estac Biol Marina Grana, A Grana 15590, Ferrol, Spain; Univ Santiago Compostela, Fac Biol, Dept Biol Anim, Santiago De Compostela 15782, Spain; Inst Acuicultura Biodiversidade &amp; Recursos Marino, Lab Zool Marina, Santiago De Compostela 15782, Spain</t>
  </si>
  <si>
    <t>Universidade de Santiago de Compostela; Universidade de Santiago de Compostela</t>
  </si>
  <si>
    <t>Ríos, P (corresponding author), Univ Santiago Compostela, Estac Biol Marina Grana, Casa Horreo,Rua Ribeira 1, A Grana 15590, Ferrol, Spain.</t>
  </si>
  <si>
    <t>Cristobo, Javier/M-1949-2014; Rios, Pilar/L-1293-2014</t>
  </si>
  <si>
    <t>Rios, Pilar/0000-0001-9710-9114; Urgorri, Victoriano/0000-0001-8261-5145</t>
  </si>
  <si>
    <t>838CN</t>
  </si>
  <si>
    <t>WOS:000222690800002</t>
  </si>
  <si>
    <t>d'Hondt, JL; Mascarell, G</t>
  </si>
  <si>
    <t>On some Bryozoa collected during the northern cruises of the Pourquoi-Pas? during the years 1921-1929 and description of a new species</t>
  </si>
  <si>
    <t>Bryozoa; Pourquoi-Pas?; north sea; Europe; Faroe; Jan Mayen; Smittoidea pourquoipasi sp nov</t>
  </si>
  <si>
    <t>A. systematic list is given of the Bryozoa species collected near the Faroe and Jan Mayen islands during the historical northern oceanographic cruises of the Pourquoi-Pas ? during the years 1921-1929 (15 Cheilostomes, 3 Cyclostomes). Seven species are reported here for the first time from the Faroe Islands. General data are provided on the Bryozoa from the Pourquoi-Pas  cruises in European and Antarctic Seas. A new species, Smittoidea pourquoipasi sp. nov., is described from Jan Mayen.</t>
  </si>
  <si>
    <t>Museum Natl Hist Nat, Dept Milieux &amp; Peuplements Aquat, USM 0403 Biodiversite &amp; Dynam Communautes Aquat, F-75231 Paris 05, France; Museum Natl Hist Nat, Dept Regulat Dev &amp; Diversite Mol, USM 505, F-75231 Paris, France</t>
  </si>
  <si>
    <t>Museum National d'Histoire Naturelle (MNHN); Museum National d'Histoire Naturelle (MNHN)</t>
  </si>
  <si>
    <t>d'Hondt, JL (corresponding author), Museum Natl Hist Nat, Dept Milieux &amp; Peuplements Aquat, USM 0403 Biodiversite &amp; Dynam Communautes Aquat, 57,Rue Cuvier, F-75231 Paris 05, France.</t>
  </si>
  <si>
    <t>dhondt@mnhn.fr</t>
  </si>
  <si>
    <t>868MM</t>
  </si>
  <si>
    <t>WOS:000224917700008</t>
  </si>
  <si>
    <t>Kock, KH; Pshenichnov, L; Jones, CD; Shust, K; Skora, KE; Frolkina, ZA</t>
  </si>
  <si>
    <t>Joinville-D'Urville Islands (subarea 48.1) -: A former fishing ground for the spiny icefish (Chaenodraco wilsoni), at the tip of the Antarctic Peninsula -: Revisited</t>
  </si>
  <si>
    <t>CCAMLR SCIENCE</t>
  </si>
  <si>
    <t>Antarctic Peninsula; fish stocks; Chaenodraco wilsoni; Gobionotothen gibberifrons; CCAMLR</t>
  </si>
  <si>
    <t>REPRODUCTION; SEA</t>
  </si>
  <si>
    <t>The former fishing ground off Joinville-D'Urville Islands was revisited in the course of the Antarctic Expedition ANT XIX/3 by RV Polarstern in February 2002. Five hauls were conducted north of the two islands at depths of 149 to 282 m on 21 February 2002. Published and unpublished reports from fishing operations in the 1970s and 1980s by the Fischkombinat in Rostock (former GDR), Sea Fisheries Institute in Gdynia (Poland) and material available from YugNIRO, Kerch (Ukraine) of what is known of fishing activities in the area were analysed. These data were previously unavailable to CCAMLR. Fishing and the extent of fishing was primarily dependant on whether and to what extent the target species of the fishery, the spiny icefish (Chaenodraco wilsoni), formed concentrations. Information on these fishing operations was, however, sparse, being restricted to the two seasons (1978/79 and 1979/80) when Polish and GDR vessels fished in the area. Length compositions from several fishing nations revealed that the fishery targeted primarily fish 25-35 cm long. The fish fauna at the tip of the Antarctic Peninsula represents a combination of low- and high-Antarctic elements. The available information on the biology of C. wilsoni was reviewed. Some new information was available on the reproduction and feeding of some of the species. Krill (Euphausia superba) formed a major element in the diet of icefish.</t>
  </si>
  <si>
    <t>Fed Res Ctr Fisheries, Inst Sea Fisheries, D-22767 Hamburg, Germany; Lab So Ocean Bioresources, UA-98300 Crimea, Ukraine; Natl Ocean &amp; Atmospher Adv, Natl Marine Fisheries Serv, SW Fisheries Sci Ctr, La Jolla, CA 92037 USA; VNIRO, Moscow 107140, Russia; Univ Gdansk, Hel Marine Stn, PL-84150 Hel, Poland; AtlantNIRO, Kaliningrad 236000, Russia</t>
  </si>
  <si>
    <t>National Oceanic Atmospheric Admin (NOAA) - USA; Research lnstitute of Fisheries &amp; Oceanography; Fahrenheit Universities; University of Gdansk; Research lnstitute of Fisheries &amp; Oceanography</t>
  </si>
  <si>
    <t>Kock, KH (corresponding author), Fed Res Ctr Fisheries, Inst Sea Fisheries, Palmaille 9, D-22767 Hamburg, Germany.</t>
  </si>
  <si>
    <t>karl-hermann.kock@ish.bfa-fisch.de</t>
  </si>
  <si>
    <t>C C A M L R TI</t>
  </si>
  <si>
    <t>NORTH HOBART</t>
  </si>
  <si>
    <t>PO BOX 213, NORTH HOBART, TAS 7002, AUSTRALIA</t>
  </si>
  <si>
    <t>1023-4063</t>
  </si>
  <si>
    <t>CCAMLR SCI</t>
  </si>
  <si>
    <t>CCAMLR Sci.</t>
  </si>
  <si>
    <t>874BC</t>
  </si>
  <si>
    <t>WOS:000225324900001</t>
  </si>
  <si>
    <t>Appleyard, SA; Williams, R; Ward, RD</t>
  </si>
  <si>
    <t>Population genetic structure of Patagonian toothfish in the West Indian Ocean sector of the Southern Ocean</t>
  </si>
  <si>
    <t>Dissostichus eleginoides; stock structure; mtDNA; microsatellites; gene flow; CCAMLR</t>
  </si>
  <si>
    <t>MITOCHONDRIAL-DNA; DISSOSTICHUS-ELEGINOIDES; DISTANCE; MARKERS; HEARD</t>
  </si>
  <si>
    <t>Molecular markers were used to investigate the stock structure of Patagonian toothfish (Dissostichus eleginoides) in the West Indian Ocean sector of the Southern Ocean. Four collections of D. eleginoides from Kerguelen (n = 1), Crozet (n = 1) and Prince Edward and Marion (n = 2) Islands were typed using two fragments of mitochondrial DNA (mtDNA) and seven nuclear microsatellite loci. MtDNA haplotype diversity ranged from 0.331 to 0.351. Observed heterozygosities per locus per collection ranged from 0.000 to 0.900 and allele counts from 1 to 21. There was no evidence of significant mtDNA heterogeneity among the four collections and only weak and inconsistent heterogeneity (based on minor allele frequency differences) at three microsatellite loci among the four collections. Neither mtDNA nor microsatellite F-ST values indicated population sub-structuring among collections. Genetic variance estimates of both mtDNA (F-ST = -0.016) and microsatellites (F-ST = -0.005) indicated all variation was seen within collections. Comparisons with previously collected genetic data from Heard and McDonald Island collections (n = 4) were not significant among the geographic groups (mtDNA phi(CT) = -0.003; microsatellite phi(CT) = 0.004), indicating a lack of genetic differentiation among these West Indian Ocean sector fishing locations.</t>
  </si>
  <si>
    <t>CSIRO, Marine Res, Hobart, Tas 7001, Australia; Australian Antarctic Div, Kingston, Tas 7050, Australia</t>
  </si>
  <si>
    <t>Commonwealth Scientific &amp; Industrial Research Organisation (CSIRO); Australian Antarctic Division</t>
  </si>
  <si>
    <t>Appleyard, SA (corresponding author), CSIRO, Marine Res, GPO Box 1538, Hobart, Tas 7001, Australia.</t>
  </si>
  <si>
    <t>sharon.appleyard@csiro.au</t>
  </si>
  <si>
    <t>Ward, Robert D/A-2319-2012; Appleyard, Sharon/AAJ-9942-2020; appleyard, sharon/D-6076-2012</t>
  </si>
  <si>
    <t>Appleyard, Sharon/0000-0002-3105-1690; appleyard, sharon/0000-0002-3105-1690</t>
  </si>
  <si>
    <t>WOS:000225324900002</t>
  </si>
  <si>
    <t>Azzali, M; Leonori, I; Lanciani, G</t>
  </si>
  <si>
    <t>A hybrid approach to acoustic classification and length estimation of krill</t>
  </si>
  <si>
    <t>euphausiids; acoustic species classification; acoustic size estimation; CCAMLR</t>
  </si>
  <si>
    <t>EUPHAUSIA-SUPERBA; ANTARCTIC KRILL; TARGET STRENGTH; ROSS-SEA; ZOOPLANKTON; SCATTERING; ABUNDANCE; SPHERE</t>
  </si>
  <si>
    <t>The problem of acoustically identifying and estimating the sizes of two euphausiid species is considered. A euphausiid aggregation is represented by a three-dimensional probabilistic vector whose components are the mean ratios of the volume backscattering coefficients, measured at two different frequencies. The decisions on the species and the relative misclassification errors are calculated individually for each component of a vector, using classical Bayesian techniques. Classification probabilities are derived by integrating the individual decisions. The size structure of the classified aggregation is derived from a fluid-sphere model. The effectiveness of the method is demonstrated by comparing the acoustic estimates of species and sizes to net samples collected during three surveys conducted in the Ross Sea under various environmental conditions.</t>
  </si>
  <si>
    <t>CNR, ISMAR, Sez Pesca Marittima, I-60125 Ancona, Italy</t>
  </si>
  <si>
    <t>Consiglio Nazionale delle Ricerche (CNR); Istituto di Scienze Marine (ISMAR-CNR)</t>
  </si>
  <si>
    <t>Azzali, M (corresponding author), CNR, ISMAR, Sez Pesca Marittima, Largo Fiera Pesca, I-60125 Ancona, Italy.</t>
  </si>
  <si>
    <t>m.azzali@ismar.cnr.it</t>
  </si>
  <si>
    <t>Leonori, Iole/AAD-7901-2020; CNR, Ismar/P-1247-2014</t>
  </si>
  <si>
    <t>Leonori, Iole/0000-0001-7673-1684; CNR, Ismar/0000-0001-5351-1486</t>
  </si>
  <si>
    <t>WOS:000225324900003</t>
  </si>
  <si>
    <t>Candy, SG</t>
  </si>
  <si>
    <t>Modelling catch and effort data using generalised linear models, the tweedie distribution, random vessel effects and random stratum-by-year effects</t>
  </si>
  <si>
    <t>Dissostichus eleginoides; catch-per-unit-effort; generalised linear mixed models; Tweedie distribution; South Georgia; Subarea 48.3; Heard and MacDonald Islands; Division 58.5.2; CCAMLR</t>
  </si>
  <si>
    <t>LONGITUDINAL DATA; MIXED MODELS</t>
  </si>
  <si>
    <t>The current standard method for modelling catch and effort data for Patagonian toothfish (Dissostichus eleginoides) for CCAMLR areas is to model the haul-by-haul ratios of catch to effort as the response variable in a generalised linear model (GLM) with a square-root link function and a unit variance function. A time series of standardised CPUE estimates and their precision can be obtained from the 'fishing year' parameter estimates together with 'baseline' parameter estimates, their variance-covariance matrix, and the inverse-link function. An alternative GLM with a more rigorous theoretical basis is introduced here. Catch is modelled as the response variable using a GLM with a power variance function, with the power parameter (lambda) estimated using a profile extended quasi-likelihood, and a log link function with log of effort as an offset. For 1 &lt; lambda &lt; 2 this model is equivalent to assuming a compound Poisson-gamma distribution (i.e. Tweedie distribution) for catch that, unlike lognormal or gamma distributions, admits zero values. In addition, random vessel effects are introduced into the GLM, as specified by a generalised linear mixed model (GLMM), in order to provide more efficient estimates of the standardised CPUE time series and more realistic estimates of their precision. Extra efficiency is gained by recovery of inter-vessel information as a result of the imbalance in the number of hauls in the year-by-vessel cross-classification. Further, the inclusion of an area stratum by fishing year interaction as an additional random effect in the GLMM is investigated. Fitting the stratum-by-year interaction as a fixed effect is problematic since it requires weighting of the individual stratum estimates by the areal extent of the stratum in order to obtain overall yearly standardised catch-per-unit-effort (CPUE) estimates. Without stratified random sampling, the determination of stratum areas that will give unbiased standardised CPUE estimates may be difficult. Fitting the stratum-by-year interaction as a random effect avoids this difficulty, and diagnostic methods to evaluate the validity of considering this interaction as random are described. The methods are demonstrated using catch and effort data from two commercial D. eleginoides fisheries: the longline fishery around South Georgia (Subarea 48.3) and the trawl fishery around Heard Island and MacDonald Islands (Division 58.5.2).</t>
  </si>
  <si>
    <t>Candy, SG (corresponding author), Australian Antarctic Div, Channel Highway, Kingston, Tas 7050, Australia.</t>
  </si>
  <si>
    <t>steve.candy@aad.gov.au</t>
  </si>
  <si>
    <t>WOS:000225324900004</t>
  </si>
  <si>
    <t>Hewitt, RP; Watters, G; Trathan, PN; Croxall, JP; Goebel, ME; Ramm, D; Reid, K; Trivelpiece, WZ; Watkins, JL</t>
  </si>
  <si>
    <t>Options for allocating the precautionary catch limit of krill among small-scale management units in the Scotia Sea</t>
  </si>
  <si>
    <t>Antarctic krill; management; small-scale management units; precautionary catch limit; CCAMLR</t>
  </si>
  <si>
    <t>SOUTH SHETLAND ISLANDS; ANTARCTIC FUR SEALS; MACARONI PENGUINS; MARINE PREDATORS; GEORGIA; FISHERIES; RESPONSES; BIOMASS</t>
  </si>
  <si>
    <t>Following an assessment of Antarctic krill (Euphausia superba) in the Scotia Sea, CCAMLR established a precautionary catch limit of 4 million tonnes and further adopted 15 small-scale management units (SSMUs). The intent was to subdivide the precautionary catch limit for krill among the SSMUs so as to preclude the inadvertent concentration of catches in a small portion of the surveyed area. Five options for allocating the catch limit among the SSMUs in the Scotia Sea are presented in this paper. The first four are static allocations where the allotment of catch to an SSMU is proportional to: (i) the historical catch within the SSMU; (ii) estimated predator demand in the SSMU; (iii) estimated standing stock of krill in the SSMU; and (iv) standing stock less predator demand in the SSMU. The fifth option is a dynamic allocation based on land-based predator monitoring conducted just prior to, or early in, the fishing season. For the purposes of illustration and comparison between the options, parameter estimates are made using available data, although it is recognised that considerable refinement of these estimates is possible. Qualitative conclusions are that: under the first two options a substantial portion (&gt;65%) of the catch limit would be allocated to three or less of the SSMUs adjacent to large concentrations of land-breeding predators; under options (iii) and (iv) a similar portion of the catch limit would be directed to pelagic SSMUs beyond the foraging range of these predators but into areas where krill fishing has not regularly occurred; and under option (v), an example of an adjustable catch limit dependent on the results of ecosystem monitoring, the fishery would be restricted in some of its traditional fishing grounds during years of low krill availability. Under all five options there would be little effect on the existing fishery However, as catches increase, a trade-off may be drawn between options that displace the fishery from its current operating area, but reduce the potential for contravening the terms of the Convention, and options that do not displace the fishery, but are likely to contravene the terms of the CCAMLR Convention.</t>
  </si>
  <si>
    <t>SW Fisheries Sci Ctr, La Jolla, CA 92037 USA; Pacific Fisheries Environm Lab, Pacific Grove, CA 93950 USA; British Antarctic Survey, NERC, Cambridge CB3 0ET, England; CCAMLR Secretariat, N Hobart, Tas 7002, Australia</t>
  </si>
  <si>
    <t>National Oceanic Atmospheric Admin (NOAA) - USA; UK Research &amp; Innovation (UKRI); Natural Environment Research Council (NERC); NERC British Antarctic Survey</t>
  </si>
  <si>
    <t>Hewitt, RP (corresponding author), SW Fisheries Sci Ctr, 8604 La Jolla Shores Dr, La Jolla, CA 92037 USA.</t>
  </si>
  <si>
    <t>roger.hewitt@noaa.gov</t>
  </si>
  <si>
    <t>WOS:000225324900005</t>
  </si>
  <si>
    <t>Kock, KH; Belchier, M; Jones, CD</t>
  </si>
  <si>
    <t>Is the attempt to estimate the biomass of antarctic fish from a multi-species survey appropriate for all targeted species? Notothenia rossii in the Atlantic Ocean sector -: Revisited</t>
  </si>
  <si>
    <t>biomass estimation; method choice; multi-species surveys; trawl and acoustic surveys; Notothenia rossii; Atlantic Ocean sector; CCAMLR</t>
  </si>
  <si>
    <t>SOUTH-SHETLAND ISLANDS; PHALACROCORAX-ATRICEPS-BRANSFIELDENSIS; BLUE-EYED SHAG; ARCTOCEPHALUS-GAZELLA; NELSON ISLAND; ORKNEY ISLANDS; HARMONY POINT; POTTER COVE; FUR SEALS; DIET</t>
  </si>
  <si>
    <t>Notothenia rossii was the first target species in Southern Ocean fisheries. The species was already heavily fished at the beginning of the 1970s. The closure of the fishery for this species in 1985 was one of the first conservation measures adopted by CCAMLR. Fish biomass within a CCAMLR subarea or part of a subarea is commonly estimated from surveys that target a number of species, including N. rossii, at the same time. These surveys are conducted under the assumption that the target fish species are more or less evenly distributed over the area at the time of the survey This assumption is violated in the case of N. rossii, which is non-randomly distributed such that a large proportion of the population tends to aggregate in small areas, leaving most of the survey area only thinly populated. In order to provide more accurate estimates of the abundance of the species, it is suggested that an acoustic survey combined with a number of identification hauls might be the most promising approach to estimating the biomass of N. rossii.</t>
  </si>
  <si>
    <t>Bundesanstalt Fischerei, Inst Seefischerei, D-22767 Hamburg, Germany; British Antarctic Survey, Cambridge CB3 0ET, England; Natl Marine Fisheries Serv, SW Fisheries Sci Ctr, Natl Ocean &amp; Atmospher Adm, La Jolla, CA 92037 USA</t>
  </si>
  <si>
    <t>UK Research &amp; Innovation (UKRI); Natural Environment Research Council (NERC); NERC British Antarctic Survey; National Oceanic Atmospheric Admin (NOAA) - USA</t>
  </si>
  <si>
    <t>Kock, KH (corresponding author), Bundesanstalt Fischerei, Inst Seefischerei, Palmaille 9, D-22767 Hamburg, Germany.</t>
  </si>
  <si>
    <t>WOS:000225324900009</t>
  </si>
  <si>
    <t>Litvinov, FF; Sundakov, AZ; Arkhipov, VI</t>
  </si>
  <si>
    <t>CPUE indices used in Soviet krill fishery statistics from 1977 to 1992 and their possible utility for evaluation of relative changes in krill biomass</t>
  </si>
  <si>
    <t>Antarctic krill; catch per unit effort (CPUE); Soviet krill fishery; vessel-days fished; extended vessel-days fished; krill fishery strategy; changes in krill abundance; CCAMLR</t>
  </si>
  <si>
    <t>Key catch-per-unit-effort (CPUE) indices used in Soviet krill fishery statistics, as well as the main sources of data and primary data for their calculations, were examined. The main CPUE indices were catch per vessel-days fished (CVDF), catch per extended vessel-days fished (CEVDF) and catch per hour of trawling (CHT). A relatively high correlation between mean monthly values of CVDF and CEVDF, and CVDF and CHT was observed. However, the correlation between daily mean values was quite low as a result of significant fluctuations in haul duration due to the different fishing strategies used when targeting krill intended for different end products, i.e. human consumption, krill meal and frozen krill. Daily mean CVDF and CHT calculated for specific strategies were well correlated. Depending on the fishing strategy used, the number of hauls per day ranged from 1 to 15. The duration of hauls ranged from 0.1 to 16 hours. When a final product of higher quality was required, haul durations were shorter and, accordingly, the number of hauls per day was higher. The correlation between catch and tow time was considered to be an indicator of homogeneity in krill distribution. The utility of CPUE for direct evaluation of relative changes in quantitative parameters of krill distribution inside fishing grounds is assessed.</t>
  </si>
  <si>
    <t>AtlantNIRO, Kaliningrad 236000, Russia</t>
  </si>
  <si>
    <t>Research lnstitute of Fisheries &amp; Oceanography</t>
  </si>
  <si>
    <t>AtlantNIRO, 5 Dmitry Donskoy St, Kaliningrad 236000, Russia.</t>
  </si>
  <si>
    <t>flit@atlant.baltnet.ru</t>
  </si>
  <si>
    <t>WOS:000225324900011</t>
  </si>
  <si>
    <t>Wienecke, B; Robertson, G</t>
  </si>
  <si>
    <t>Validation of sink rates of longlines measured using two different methods</t>
  </si>
  <si>
    <t>toothfish fishery; bottom longline; seabird by-catch; line sink rate; evaluation of methods; CCAMLR</t>
  </si>
  <si>
    <t>Sink rates of integrated weight longlines (lines with 50 g.m(-1) lead integrated into two strands of the ground line -IW-50 lines) were measured during commercial fishing operations using two methods: electronic time depth recorders (TDRs) and pieces of string of known length wrapped around empty plastic bottles (bottle method). Sink rates measured to 2 m with bottles averaged 0.23 +/- 0.07 m.s(-1) compared to 0.17 +/- 0.03 m.s(-1) recorded by TDRs. This difference was not statistically significant (t(12) = -0.181, P = 0.859). When the target depth was 15 m, sink rates measured using the bottle method (0.20 +/- 0.02 m.s(-1)) were significantly slower than those measured by TDRs (0.24 +/- 0.03 m.s(-1), t(10) = -3.851, P = 0.003). Measuring sink rates to 15 m proved difficult with bottles because they were too far behind the vessel, i.e. out of the observer's sight, when they reached the target depth. Bottles had a high failure rate (60%) due to string becoming entangled during line setting, or bottles vanishing from sight behind waves or in congregations of seabirds before the target depth was reached. No TDRs were lost during the trial. Bottle tests were most useful, depending on sea state and weather conditions, for measuring sink rates to shallow depths when instant readings were required. TDRs can be used to measure sink rates to depths of more than 2 m down to the seabed. A major advantage of the TDRs is the archival nature of the data collected.</t>
  </si>
  <si>
    <t>Wienecke, B (corresponding author), Australian Antarctic Div, Channel Highway, Kingston, Tas 7050, Australia.</t>
  </si>
  <si>
    <t>barbara.wienecke@aad.gov.au</t>
  </si>
  <si>
    <t>WOS:000225324900012</t>
  </si>
  <si>
    <t>Melvin, EF; Sullivan, B; Robertson, G; Wienecke, B</t>
  </si>
  <si>
    <t>A review of the effectiveness of streamer lines as a seabird by-catch mitigation technique in longline fisheries and CCAMLR streamer line requirements</t>
  </si>
  <si>
    <t>streamer line; tori line; bird scaring line; performance standards; seabird by-catch mitigation; conservation measure; CCAMLR</t>
  </si>
  <si>
    <t>ALBATROSS MORTALITY; BAIT LOSS</t>
  </si>
  <si>
    <t>Based to a large degree on the precedent set by CCAMLR in 1991, the streamer line has become the primary, and most commonly prescribed, seabird mitigation device in world longline fisheries. This paper reviews CCAMLR streamer line requirements (Conservation Measure 25-02 (2002), formerly Conservation Measure 29/XIX) in light of a review of existing literature and available data on the effectiveness of single and paired (or multiple) streamer lines. Research to determine the optimal streamer line design and configuration is lacking and is identified as a high priority. Future streamer line research should compare the attack or dive rate of multiple southern hemisphere seabird species or foraging guilds as a function of distance astern in response to single and multiple streamer lines deployed according to specific performance and material standards. Improvements to streamer line requirements set out in Conservation Measure 25-02 are discussed and proposed relative to recent Alaskan requirements. Proposed changes include: requiring that the streamer line be deployed over the hookline within 100 m of the stern; increasing the height of the streamer line attachment point to the vessel and/or specifying the aerial extent of the streamer line; requiring that individual branched streamers extend to the water in the absence of wind and swell and be attached throughout the aerial extent of a streamer line; including ultraviolet-protected plastic tubing as a permitted streamer material; relaxing the number and placement of swivels in favour of a performance standard; requiring that streamer line attachment points to the vessels and the towed object be deployed windward of the hookline; and recommending that fishers deploy a minimum of two streamer lines on a voluntary basis according to performance and material standards. Based on the recommendations of this review and the discussions of the ad hoc Working Group on Incidental Mortality Arising from Fishing (WG-IMAF), the CCAMLR streamer line requirements were changed by the Commission in 2003.</t>
  </si>
  <si>
    <t>Univ Washington, Washington Sea Grant Program, Seattle, WA 98195 USA; Falklands Conservat, Seabirds Sea Team, Stanley, England; Australian Antarctic Div, Kingston, Tas 7050, Australia</t>
  </si>
  <si>
    <t>University of Washington; University of Washington Seattle; Australian Antarctic Division</t>
  </si>
  <si>
    <t>Melvin, EF (corresponding author), Univ Washington, Washington Sea Grant Program, Box 355020, Seattle, WA 98195 USA.</t>
  </si>
  <si>
    <t>emelvin@u.washington.edu</t>
  </si>
  <si>
    <t>WOS:000225324900013</t>
  </si>
  <si>
    <t>Capello, M; Budillon, G; Ferrari, M; Tucci, S</t>
  </si>
  <si>
    <t>Capello, Marco; Budillon, Giorgio; Ferrari, Marco; Tucci, Sergio</t>
  </si>
  <si>
    <t>SUSPENDED MATTER VARIABILITY IN RELATION TO WATER MASSES IN TERRA NOVA BAY (ROSS SEA-ANTARCTICA)</t>
  </si>
  <si>
    <t>CHEMISTRY AND ECOLOGY</t>
  </si>
  <si>
    <t>Water masses; Particulate matter; Antarctica; Polynya; Terra Nova Bay</t>
  </si>
  <si>
    <t>PARTICULATE MATTER; ICE SHELF; PHYTOPLANKTON BIOMASS; PARTICLE FLUXES; AUSTRAL SUMMER; VERTICAL FLUX; DYNAMICS; SEDIMENTATION; PRODUCTIVITY; TRANSPORT</t>
  </si>
  <si>
    <t>The concentration (total particulate matter, TPM) and size of particulate matter collected during three oceanographic cruises carried out in the Ross Sea (Antarctica) in the frame of the Climatic Long-Term Interactions for the Mass-Balance in Antarctica (CLIMA) Project have been analysed in relation to the characteristics of the water masses present in the polynya of Terra Nova Bay (TNB). The water column was divisible into three layers: the surficial, which included the Antarctic Surface Waters (AASW); the intermediate, which sometimes included the Terra Nova Ice Shelf Waters (TISW); and the bottom, mainly consisting of High Salinity Shelf Waters (HSSW). The highest TPM concentrations were observed in the AASW, where the largest particles were also found; the lowest TPM concentrations were found in the bottom waters (HSSW). The TPM concentrations found in the water samples collected in the 1998 austral summer were almost twice as high as those found in 2001. In contrast, there was no difference in the size of the particles collected in 1998 and 2001, but there was a notable difference between those found in 1998 and 2001 and those found in 1997. The particulate input in the polynya waters is mainly related to ice melting processes and the variability in the TISW coming from the Nansen Ice Sheet and Drygalski and Campbell Ice Tongues.</t>
  </si>
  <si>
    <t>[Capello, Marco; Ferrari, Marco; Tucci, Sergio] Univ Genoa, DIP TE RIS, I-16132 Genoa, Italy; [Budillon, Giorgio] Univ Napoli Parthenope, Ist Meteorol &amp; Oceanog, I-80133 Naples, Italy</t>
  </si>
  <si>
    <t>University of Genoa; Parthenope University Naples</t>
  </si>
  <si>
    <t>Capello, M (corresponding author), Univ Genoa, DIP TE RIS, Corso Europa 26, I-16132 Genoa, Italy.</t>
  </si>
  <si>
    <t>capello@dipteris.unige.it</t>
  </si>
  <si>
    <t>Budillon, Giorgio/O-5348-2014; Ferrari, Marco/J-7433-2016</t>
  </si>
  <si>
    <t>Budillon, Giorgio/0000-0003-1756-2221; Ferrari, Marco/0000-0001-7009-6552; CAPELLO, MARCO/0000-0003-4048-7557</t>
  </si>
  <si>
    <t>0275-7540</t>
  </si>
  <si>
    <t>1029-0370</t>
  </si>
  <si>
    <t>CHEM ECOL</t>
  </si>
  <si>
    <t>Chem. Ecol.</t>
  </si>
  <si>
    <t>S7</t>
  </si>
  <si>
    <t>10.1080/02757540410001664620</t>
  </si>
  <si>
    <t>Biochemistry &amp; Molecular Biology; Ecology; Environmental Sciences</t>
  </si>
  <si>
    <t>Biochemistry &amp; Molecular Biology; Environmental Sciences &amp; Ecology</t>
  </si>
  <si>
    <t>V26BD</t>
  </si>
  <si>
    <t>WOS:000208520200003</t>
  </si>
  <si>
    <t>Cerrano, C; Calcinai, B; Cucchiari, E; Di Camillo, C; Nigro, M; Regoli, F; Sarà, A; Schiaparelli, S; Totti, C; Bavestrello, G</t>
  </si>
  <si>
    <t>Cerrano, C.; Calcinai, B.; Cucchiari, E.; Di Camillo, C.; Nigro, M.; Regoli, F.; Sara, A.; Schiaparelli, S.; Totti, C.; Bavestrello, G.</t>
  </si>
  <si>
    <t>ARE DIATOMS A FOOD SOURCE FOR ANTARCTIC SPONGES?</t>
  </si>
  <si>
    <t>Diatoms; Sponges; Chlorophaeopigments; Endobionthic relationships; Trophic resources; Antarctica</t>
  </si>
  <si>
    <t>PORIFERA</t>
  </si>
  <si>
    <t>Living diatoms are commonly found within Antarctic Porifera, and generally interpreted as additional food source, or as mutualists or parasites of sponge tissues. However, no data are available about temporal variations of the abundance of diatoms inside sponges especially during the winter period. In this paper we analysed the amount of diatom frustules and chlorophaeopigment concentration in six species of Antarctic sponges (Dendrilla antarctica, Homaxinella flagelliformis, Kirkpatrickia variolosa, Suberites montiniger, Haliclona dancoi, Haliclona penicillata) sampled weekly from November 2001 - before the ice melting - to February 2002. Frustule concentration in the sponge tissues was very low at the beginning of November in all the sponge species, and increased between 9 and 22 January, to reach maximum values between 29 January and 7 February. Diatom abundances were significantly higher in H. dancoi tissues, comparing to the other sponge species, reaching values up to 1217 +/- 178 cells * 10(6) g(-1) dw at the end of January. Chlorophaeopigments, very low at the beginning of November, increased between 5 and 19 December, before the peak of diatoms. Maximum chlphaeo values (650.5 +/- 5.9 mu g g(-1) dw) were observed in D. antarctica. The planktonic Fragilariopsis curta was the most common diatom species recorded inside sponges. These data clearly indicate that diatom concentration inside the sponge tissues is related to the summer phytoplankton bloom. The shift between the pigment and frustule peaks strongly suggests that diatoms are used as a food source by sponges and that their frustules are accumulated inside the sponge body. The lack of frustules at the beginning of summer indicates that diatom frustules are expelled or dissolved during the cold season.</t>
  </si>
  <si>
    <t>[Calcinai, B.; Cucchiari, E.; Di Camillo, C.; Totti, C.; Bavestrello, G.] Univ Politecn Marche, Dipartimento Sci Mare, I-60131 Ancona, Italy; [Cerrano, C.; Sara, A.; Schiaparelli, S.] Univ Genoa, DIP TE RIS, Genoa, Italy; [Nigro, M.] Univ Pisa, Dipartimento Morfol Umana &amp; Biol Applicata, I-56100 Pisa, Italy; [Regoli, F.] Univ Politecn Marche, Ist Biol &amp; Genet, I-60131 Ancona, Italy</t>
  </si>
  <si>
    <t>Marche Polytechnic University; University of Genoa; University of Pisa; Marche Polytechnic University</t>
  </si>
  <si>
    <t>Bavestrello, G (corresponding author), Univ Politecn Marche, Dipartimento Sci Mare, Via Brecce Bianche, I-60131 Ancona, Italy.</t>
  </si>
  <si>
    <t>bavestrello@unian.it</t>
  </si>
  <si>
    <t>Di Camillo, Cristina/AAI-5960-2021; Schiaparelli, Stefano/AAI-4024-2020; Bavestrello, Giorgio/JXN-5230-2024; Cerrano, Carlo/AAF-3557-2019; TOTTI, Cecilia Maria/A-9178-2016; Regoli, Francesco/K-2719-2018</t>
  </si>
  <si>
    <t>Di Camillo, Cristina/0000-0002-4031-8158; Schiaparelli, Stefano/0000-0002-0137-3605; Cerrano, Carlo/0000-0001-9580-5546; Sara, Antonio/0000-0003-4551-1042; TOTTI, Cecilia Maria/0000-0002-1532-6009; Regoli, Francesco/0000-0001-6084-6188</t>
  </si>
  <si>
    <t>Italian National Antarctic Project</t>
  </si>
  <si>
    <t>Authors are grateful to A. Pusceddu and M. Giordano (University of Marche) for laboratory support. This research was funded by the Italian National Antarctic Project.</t>
  </si>
  <si>
    <t>S57</t>
  </si>
  <si>
    <t>S64</t>
  </si>
  <si>
    <t>10.1080/02757540310001629198</t>
  </si>
  <si>
    <t>WOS:000208520200007</t>
  </si>
  <si>
    <t>Corsi, I; Bonacci, S; Santovito, G; Chiantore, M; Castagnolo, L; Focardi, S</t>
  </si>
  <si>
    <t>Corsi, Ilaria; Bonacci, Stefano; Santovito, Gianfranco; Chiantore, Mariachiara; Castagnolo, Lucio; Focardi, Silvano</t>
  </si>
  <si>
    <t>PRELIMINARY INVESTIGATION ON CHOLINESTERASES ACTIVITY IN ADAMUSSIUM COLBECKI FROM TERRA NOVA BAY: FIELD AND LABORATORY STUDY</t>
  </si>
  <si>
    <t>Adamussium colbecki; Antarctica; Cholinesterase; Biomarker; ZnCl2</t>
  </si>
  <si>
    <t>MYTILUS-GALLOPROVINCIALIS; INHIBITION-KINETICS; DIFFERENT TISSUES; OXIDATIVE STRESS; EXPOSURE; ACETYLCHOLINESTERASE; CONTAMINATION; BIOMARKER; POLLUTION; BUTYRYLCHOLINESTERASE</t>
  </si>
  <si>
    <t>While the inhibition of cholinesterase (ChE) activity as a biomarker of exposure to neurotoxic insecticides is well established in aquatic invertebrates of temperate areas, little is known about organisms from polar regions including Antarctica. Cholinesterase activity was investigated in specimens of the Antarctic scallop, Adamussium colbecki, collected in winter 2000 at Campo Icaro (Ross Sea, Antarctica) for preliminary characterization of a potentially new biomarker. Characterization of various ChE enzymes using specific substrates including an acetylthiocholine iodide (ASCh) and a butyrylthiocholine iodide (BSCh) was performed in gills, digestive gland and adductor muscle of the scallop. The effect of in vivo Zn2+ exposure in gills and digestive gland of A. colbecki was also studied. All the tissues expressed ChE activity (gill &gt; adductor muscle &gt; digestive gland) in accordance with data reported for marine mussels (Mytilus sp.) from temperate areas (1.1-13.8 nmol min(-1) mg protein(-1)). Significant BSCh-dependent ChE inhibition was also measured with a specific inhibitor, Iso-OMPA. Exposure to Zn2+ does not seem to affect ChE activity in the scallop although some slight differences were observed in substrate specificities (ASCh and BSCh) between treated and untreated organisms. This preliminary study stresses the need for further investigation on ChE activity in A. colbecki as a biomarker for monitoring water contamination in the marine Antarctic environment.</t>
  </si>
  <si>
    <t>[Corsi, Ilaria; Bonacci, Stefano; Castagnolo, Lucio; Focardi, Silvano] Univ Siena, Dipartimento Sci Ambientali, I-53100 Siena, Italy; [Santovito, Gianfranco] Univ Padua, Dipartimento Biol, I-35131 Padua, Italy; [Chiantore, Mariachiara] Univ Genoa, Dipartimento Studio Terr &amp; Sue Risorse, I-16132 Genoa, Italy</t>
  </si>
  <si>
    <t>University of Siena; University of Padua; University of Genoa</t>
  </si>
  <si>
    <t>Corsi, I (corresponding author), Univ Siena, Dipartimento Sci Ambientali, Via Cerchia 3, I-53100 Siena, Italy.</t>
  </si>
  <si>
    <t>corsii@unisi.it</t>
  </si>
  <si>
    <t>Bonacci, Stefano/ABI-5676-2020; Santovito, Gianfranco/ABB-9484-2021; Corsi, Ilaria/D-3795-2012; Chiantore, Mariachiara/C-7070-2017</t>
  </si>
  <si>
    <t>Santovito, Gianfranco/0000-0001-8260-7006; Corsi, Ilaria/0000-0002-1811-3041; Chiantore, Mariachiara/0000-0002-5862-1470</t>
  </si>
  <si>
    <t>S79</t>
  </si>
  <si>
    <t>S87</t>
  </si>
  <si>
    <t>10.1080/02757540310001629206</t>
  </si>
  <si>
    <t>WOS:000208520200009</t>
  </si>
  <si>
    <t>Guglielmo, L; Carrada, GC; Catalano, G; Cozzi, S; Dell'anno, A; Fabiano, M; Granata, A; Lazzara, L; Lorenzelli, R; Manganaro, A; Mangoni, O; Misic, C; Modigh, M; Pusceddu, A; Saggiomo, V</t>
  </si>
  <si>
    <t>Guglielmo, L.; Carrada, G. C.; Catalano, G.; Cozzi, S.; Dell'anno, A.; Fabiano, M.; Granata, A.; Lazzara, L.; Lorenzelli, R.; Manganaro, A.; Mangoni, O.; Misic, C.; Modigh, M.; Pusceddu, A.; Saggiomo, V.</t>
  </si>
  <si>
    <t>BIOGEOCHEMISTRY AND ALGAL COMMUNITIES IN THE ANNUAL SEA ICE AT TERRA NOVA BAY (ROSS SEA, ANTARCTICA)</t>
  </si>
  <si>
    <t>Sea ice; Nutrients; C:N ratio; Microalgae; Sympagic meiofauna</t>
  </si>
  <si>
    <t>ORGANIC-MATTER COMPOSITION; SOUTHERN WEDDELL SEA; BACTERIAL DISTRIBUTION; STEPHOS-LONGIPES; PLATELET ICE; FREE WATERS; LIFE-CYCLE; HARPACTICOIDA; ASSEMBLAGES; SEDIMENTS</t>
  </si>
  <si>
    <t>During the fifteenth Italian Antarctic expedition, in the framework of the Pack Ice Ecosystem Dynamics programme, we investigated structure and functioning of the sympagic communities in the annual pack ice at Terra Nova Bay (74 degrees 41.72' S, 164 degrees 11.63' E). From November 1 to November 30 1999, we collected intact sea ice cores and platelet ice samples at an interval of 3 days. Ice samples were analysed for inorganic nutrients concentrations, algal biomass and productivity, pigment spectra, extracellular enzymatic activities and bacterial carbon production, micro-algal and metazoan community structure. Autotrophic biomass in the bottom ice increased more than two orders of magnitude from the beginning to the end of November 1999 (i.e. from c. 1-400 mg chlorophyll a m(-3)). In the same temporal interval, inorganic nutrients concentrations as well as dissolved organic matter sharply increased. Pigment spectra and microscopic analyses revealed that bottom ice communities were different from those of the platelet ice. The bottom-ice sympagic flora was represented almost exclusively by cryobenthic species, whereas platelet ice was characterised by the presence of both cryopelagic and cryobenthic species. Metazoan community in the bottom sea ice was largely dominated by copepods. In particular, the calanoiod Stephos longipes and the harpacticoid Harpacticus furcifer accounted for more than 90% of the sympagic fauna. In the bottom sea ice concentrations of phaeophorbides and other degraded phytopigments were low indicating that most of the sympagic flora was active. These findings suggest that grazing pressure might be only a minor factor controlling or regulating inorganic nutrient concentrations. Conversely, potential degradation rates of organic carbon mediated by extracellular enzymatic activity were very high and largely exceeded organic matter production by photosynthesis.</t>
  </si>
  <si>
    <t>[Guglielmo, L.; Granata, A.; Manganaro, A.] Univ Messina, Anim Biol &amp; Marine Ecol Dept, I-98166 Messina, Italy; [Carrada, G. C.; Mangoni, O.] Univ Naples Federico II, Dept Zool, I-80134 Naples, Italy; [Catalano, G.; Cozzi, S.] CNR, Inst Marine Sci, Lab Trieste, Trieste, Italy; [Dell'anno, A.; Pusceddu, A.] Polytech Univ Marche, Dept Marine Sci, Marche, Italy; [Fabiano, M.; Misic, C.] Univ Genoa, Dept Study Terr &amp; Its Resources, Genoa, Italy; [Lazzara, L.] Univ Florence, Dept Anim Biol &amp; Genet Leo Pardi, Florence, Italy; [Lorenzelli, R.; Modigh, M.] ENEA Ctr Energy Res Brasimone, Bologna, Italy; [Saggiomo, V.] Stn Zool Naples A Dohrn, Biol &amp; Oceanog Lab, Naples, Italy</t>
  </si>
  <si>
    <t>University of Messina; University of Naples Federico II; Consiglio Nazionale delle Ricerche (CNR); Istituto di Scienze Marine (ISMAR-CNR); Marche Polytechnic University; University of Genoa; University of Florence; Stazione Zoologica Anton Dohrn di Napoli</t>
  </si>
  <si>
    <t>Guglielmo, L (corresponding author), Univ Messina, Anim Biol &amp; Marine Ecol Dept, Salita Sperone 31, I-98166 Messina, Italy.</t>
  </si>
  <si>
    <t>Letterio.Guglielmo@unime.it</t>
  </si>
  <si>
    <t>Cozzi, Stefano/G-1511-2011; Dell'Anno, Antonio AD/G-9468-2012; Lazzara, Luigi Carlo/C-6838-2012; CNR, Ismar/P-1247-2014</t>
  </si>
  <si>
    <t>Cozzi, Stefano/0000-0003-0116-742X; Dell'Anno, Antonio AD/0000-0002-4324-7834; Lazzara, Luigi Carlo/0000-0002-1351-9683; GRANATA, Antonia/0000-0001-7016-6418; MISIC, CRISTINA/0000-0002-2577-1800; CNR, Ismar/0000-0001-5351-1486; GUGLIELMO, Letterio/0000-0001-7547-8058</t>
  </si>
  <si>
    <t>Italian Antarctic National Program, Italian Ministry for Research and University (MIUR)</t>
  </si>
  <si>
    <t>This work is dedicated to our mutual friend Donato Marino, whose invaluable scientific contribution and humanity will be never forgotten. This study was funded by the Italian Antarctic National Program, Italian Ministry for Research and University (MIUR).</t>
  </si>
  <si>
    <t>S43</t>
  </si>
  <si>
    <t>S55</t>
  </si>
  <si>
    <t>10.1080/02757540310001656657</t>
  </si>
  <si>
    <t>WOS:000208520200006</t>
  </si>
  <si>
    <t>Rivaro, P; Bergamasco, A; Budillon, G; Frache, R; Hohmann, R; Massolo, S; Spezie, G</t>
  </si>
  <si>
    <t>Rivaro, P.; Bergamasco, A.; Budillon, G.; Frache, R.; Hohmann, R.; Massolo, S.; Spezie, G.</t>
  </si>
  <si>
    <t>CHLOROFLUOROCARBON DISTRIBUTION IN THE ROSS SEA WATER MASSES</t>
  </si>
  <si>
    <t>Ross Sea; CFC; Ventilation time; Water masses; Shelf-slope interactions</t>
  </si>
  <si>
    <t>ICE SHELF WATER; WEDDELL SEA; CIRCULATION; VENTILATION; TRACERS</t>
  </si>
  <si>
    <t>Chlorofluorocarbon (CFC11, CFC12 and CFC113) data, collected during the 2000-2001 austral summer, within the framework of the activities of the Climatic Long-Term Interactions for the Mass-Balance in Antarctica (CLIMA) Project of the Italian National Program for Antarctic Research (PNRA) in the Ross Sea, are discussed in the context of hydrographic observations. These data provide an overview of CFC distribution in some of the characteristic water masses found in the Ross Sea. The highest values of CFCs are found in the Antarctic Surface Water (AASW), because of the exchange with the atmosphere, while the lowest concentrations and the highest temperatures define the presence of Circumpolar Deep Water (CDW) in the cast of the analyzed samples. High Salinity Shelf Water (HSSW) can be identified by the highest salinity and by the relatively high content of CFCs. Moreover, the CFCs are useful tracers to study the mixing and overflow processes near the shelf break. In particular, chlorofluorocarbons trace the intrusion onto the shelf of Modified Circumpolar Deep Water (MCDW) off Cape Adare. The relative age of this water mass derived from CFCs ratios indicates that ventilation occurred between 1973 and 1979. The thermohaline structures and CFC distribution reveal at the shelf break the presence of HSSW already mixed with MCDW. Consequently, the density value of the bottom layer is not high enough to produce a strong overflow along the shelf break, causing a less intense ventilation of the deep oceans.</t>
  </si>
  <si>
    <t>[Rivaro, P.; Frache, R.; Massolo, S.] Univ Genoa, Dipartimento Chim &amp; Chim Ind, I-16146 Genoa, Italy; [Bergamasco, A.] CNR, Ist Sci Marine, I-30125 Venice, Italy; [Budillon, G.; Spezie, G.] Univ Parthenope, Ist Meteorol &amp; Oceanog, Naples, Italy; [Hohmann, R.] Columbia Univ, Lamont Doherty Earth Observ, Palisades, NY 10964 USA</t>
  </si>
  <si>
    <t>University of Genoa; Consiglio Nazionale delle Ricerche (CNR); Istituto di Scienze Marine (ISMAR-CNR); Parthenope University Naples; Columbia University</t>
  </si>
  <si>
    <t>Rivaro, P (corresponding author), Univ Genoa, Dipartimento Chim &amp; Chim Ind, Via Dodecaneso 31, I-16146 Genoa, Italy.</t>
  </si>
  <si>
    <t>rivaro@chimica.unige.it</t>
  </si>
  <si>
    <t>Budillon, Giorgio/O-5348-2014; CNR, Ismar/P-1247-2014</t>
  </si>
  <si>
    <t>Budillon, Giorgio/0000-0003-1756-2221; CNR, Ismar/0000-0001-5351-1486</t>
  </si>
  <si>
    <t>Italian National Program for Research in Antarctica (PNRA)</t>
  </si>
  <si>
    <t>Italian National Program for Research in Antarctica (PNRA)(Ministry of Education, Universities and Research (MIUR))</t>
  </si>
  <si>
    <t>This study was financially supported by the Italian National Program for Research in Antarctica (PNRA). The help of the crew on the RV Italica is kindly acknowledged. Thanks are due to Dr W. M. Smethie Jr and Mr Eugene Gorman, for their contributions during chemical analysis.</t>
  </si>
  <si>
    <t>S29</t>
  </si>
  <si>
    <t>S41</t>
  </si>
  <si>
    <t>10.1080/02757540410001664611</t>
  </si>
  <si>
    <t>WOS:000208520200005</t>
  </si>
  <si>
    <t>Romano, N; Ceccariglia, S; Abelli, L; Baldassini, MR; Picchietti, S; Mazzini, M; Mastrolia, L</t>
  </si>
  <si>
    <t>Romano, Nicla; Ceccariglia, Sabrina; Abelli, Luigi; Baldassini, Maria Rosaria; Picchietti, Simona; Mazzini, Massimo; Mastrolia, Lucia</t>
  </si>
  <si>
    <t>ADAPTATION OF FISH LYMPHOMYELOID ORGANS TO POLAR WATER</t>
  </si>
  <si>
    <t>Thymus; Head kidney; Spleen; Antarctic fish; Teleost</t>
  </si>
  <si>
    <t>CYPRINUS-CARPIO L; LYMPHOID ORGANS; TELEOST FISH; DICENTRARCHUS-LABRAX; HEAD-KIDNEY; ENVIRONMENTAL-TEMPERATURE; PAGOTHENIA-BERNACCHII; ANTARCTIC TELEOST; IMMUNE-RESPONSE; RUTILUS-RUTILUS</t>
  </si>
  <si>
    <t>Lymphomyeloid organs of three common Antarctic fish species, Trematomus bernacchii, Trematomus nicolai and Chionodraco hamatus, were analysed. Contrary to species living in temperate sea water, the thymus of polar fishes were flattened, incompletely lobated and scarcely distinguishable by normal histology into cortical and medullary regions. Functional regionalisation, however, was suggested by differences in the sizes of thymocytes from the outer to the inner thymus zone. Another particularity was observed in the thymus of Trematomus species: next to lymphocytes, numerous erythroid cells circulated and differentiated in the parenchyma. Only two main types of epithelial cells could be found by cytological analysis: (i) limiting cells that surround the haematopoietic tissue and (ii) reticular cells that constitute the frame where the lymphoid and erythroid cells can proliferate and differentiate. The reticular cells could not be distinguished in cortical and medullary subtypes as observed in temperate-water fish. Numerous Hassall's corpuscles, probably with a scavenging role, were also observed in the thymus. The head kidney housed haematopoietic tissue, lacked any excretory tubules, and had a huge blood supply, characteristic of polar fish species. It appeared mainly lymphopoietic in C. hamatus but contemporary erythropoietic and lymphopoietic in Trematomus species. The ultrastructural analysis revealed the presence of both reticular and limiting epithelial cells. Reticular epithelial cells (REC) characteristically showed numerous vesicles with a granular content and cell debris. Numerous lymphoblasts, lymphocytes and plasma cells were observed among the REC. Erythropoiesis occurred in all polar species analysed, but in C. hamatus the erythroblasts did not differentiate because they had a fast senescence. The spleen appeared mainly erythropoietic, with scarcely developed areas of white pulp, in Trematomus species; the erythropoiesis was scarcely evident in C. hamatus. Small vascular ellipsoids showed numerous melano-macrophages in Trematomus, while large haematopoietic areas were organised around the capillaries in C. hamatus. Utrastructural analysis revealed, in all species examined, two main types of epithelial cells: reticular, close to the ellipsoids, and limiting-subcapsular, which surround the organ. A large blood supply and extended capillary frame were also observed in polar species. The possible adaptation of lymphoid organs to the low temperatures of polar water is discussed.</t>
  </si>
  <si>
    <t>[Romano, Nicla; Ceccariglia, Sabrina; Baldassini, Maria Rosaria; Picchietti, Simona; Mazzini, Massimo; Mastrolia, Lucia] Univ Tuscia, Dipartimento Sci Ambientali, I-01100 Viterbo, Italy; [Abelli, Luigi] Univ Ferrara, Dept Biol, I-44100 Ferrara, Italy</t>
  </si>
  <si>
    <t>Tuscia University; University of Ferrara</t>
  </si>
  <si>
    <t>Romano, N (corresponding author), Univ Tuscia, Dipartimento Sci Ambientali, Blocco D, I-01100 Viterbo, Italy.</t>
  </si>
  <si>
    <t>nromano@unitus.it</t>
  </si>
  <si>
    <t>ABELLI, LUIGI/B-1242-2013; Picchietti, Simona/AAB-8019-2020; romano, nicla/K-5010-2019</t>
  </si>
  <si>
    <t>ABELLI, LUIGI/0000-0002-0344-4841; romano, nicla/0000-0002-0155-8271; PICCHIETTI, Simona/0000-0002-6116-213X</t>
  </si>
  <si>
    <t>ENEA-Antarctic Italian-Project</t>
  </si>
  <si>
    <t>We are indebted to Prof. A. Valbonesi, Universita degli Studi di Camerino, Italy, Proff. S. Onofri and G. Scapigliati, Universita degli Studi della Tuscia, Italy, for collecting and sending Antarctic material and Prof. E. L. Cooper, Laboratory of Comparative Immunology, UCLA Medical Center, Los Angeles, USA, for the helpful advice in this project. We wish to thank Prof. G. Scapigliati for reading the manuscript critically. This work was supported by ENEA-Antarctic Italian-Project.</t>
  </si>
  <si>
    <t>S65</t>
  </si>
  <si>
    <t>S77</t>
  </si>
  <si>
    <t>10.1080/02757540410001655413</t>
  </si>
  <si>
    <t>WOS:000208520200008</t>
  </si>
  <si>
    <t>Sabbatini, A; Morigi, C; Ravaioli, M; Negri, A</t>
  </si>
  <si>
    <t>Sabbatini, A.; Morigi, C.; Ravaioli, M.; Negri, A.</t>
  </si>
  <si>
    <t>ABYSSAL BENTHIC FORAMINIFERA IN THE POLAR FRONT REGION (PACIFIC SECTOR): FAUNAL COMPOSITION, STANDING STOCK AND SIZE STRUCTURE</t>
  </si>
  <si>
    <t>Foraminifera; Soft-shelled monothalamous foraminifera; Ecology; Southern Ocean</t>
  </si>
  <si>
    <t>We have evaluated the quantitative composition of Rose Bengal-stained benthic foraminiferal assemblages of surface samples from two box cores (ANTA98-28 bc; ANTA01-01 bc) collected at the Polar Front in the Pacific sector of the Southern Ocean. Size structure, faunal composition and standing stock were analysed for living (Rose Bengal-stained) and dead foraminifera. The size fractions among 63-150, 150-250 and &gt;250 mu m were counted separately in order to study the foraminiferal size distribution and to compare our results with earlier Antarctic studies. The low organic carbon content of the sediment, and hence the limited food availability, is reflected by very low standing stocks and low diversity values. Calcareous taxa dominated dead foraminiferal assemblages that were more diverse than the stained assemblages. In the sediment samples of ANTA01-01 bc, the living fauna contained agglutinated taxa and soft-shelled monothalamous forms. Our data represent the southernmost record of benthic foraminiferal community (63 degrees S) from the Polar Front region in the Pacific sector. These samples provide further evidence for the occurrence of meiofaunal foraminifera in extreme environments, like the Antarctic region, where the uncoupled annual variations in temperature and production cause strong effects on the structure of benthic communities.</t>
  </si>
  <si>
    <t>[Sabbatini, A.; Morigi, C.; Negri, A.] Univ Politecn Marche, Dipartimento Sci Mare, Ancona, Italy; [Ravaioli, M.] CNR, ISMAR, Sez Bologna, I-40126 Bologna, Italy</t>
  </si>
  <si>
    <t>Marche Polytechnic University; Consiglio Nazionale delle Ricerche (CNR); Istituto di Scienze Marine (ISMAR-CNR)</t>
  </si>
  <si>
    <t>Sabbatini, A (corresponding author), Univ Politecn Marche, Dipartimento Sci Mare, Via Brecce Bianche, Ancona, Italy.</t>
  </si>
  <si>
    <t>a.sabbatini@univpm.it</t>
  </si>
  <si>
    <t>Negri, Alessandra/D-4085-2011; Morigi, Caterina/B-3316-2012; CNR, Ismar/P-1247-2014; Ravaioli, Mariangela/B-7589-2015</t>
  </si>
  <si>
    <t>Morigi, Caterina/0000-0003-1340-9932; CNR, Ismar/0000-0001-5351-1486; Ravaioli, Mariangela/0000-0001-6858-8013; SABBATINI, ANNA/0000-0003-4577-5339; Negri, Alessandra/0000-0002-8133-3936</t>
  </si>
  <si>
    <t>4 PARK SQUARE, MILTON PARK, ABINGDON OX14 4RN, OXON, ENGLAND</t>
  </si>
  <si>
    <t>S117</t>
  </si>
  <si>
    <t>S129</t>
  </si>
  <si>
    <t>10.1080/02757540410001655387</t>
  </si>
  <si>
    <t>WOS:000208520200012</t>
  </si>
  <si>
    <t>Roscoe, HK</t>
  </si>
  <si>
    <t>Schlussel, P; Stuhlmann, R; Campbell, JW; Erickson, C</t>
  </si>
  <si>
    <t>Possible descent across the Tropopause in Antarctic winter</t>
  </si>
  <si>
    <t>CLIMATE CHANGE PROCESSES IN THE STRATOSPHERE, EARTH-ATMOSPHERE-OCEAN SYSTEMS, AND OCEANOGRAPHIC PROCESSES FROM SATELLITE DATA</t>
  </si>
  <si>
    <t>ADVANCES IN SPACE RESEARCH</t>
  </si>
  <si>
    <t>2nd World Space Congress/34th COSPAR Scientific Assembly</t>
  </si>
  <si>
    <t>OCT 10-19, 2002</t>
  </si>
  <si>
    <t>HOUSTON, TX</t>
  </si>
  <si>
    <t>climate; tropospheric ozone; ice cores; Antarctic plateau</t>
  </si>
  <si>
    <t>SOUTH-POLE; VORTEX; MODEL; OZONE; PRECIPITATION; TRANSPORT; CLIMATE</t>
  </si>
  <si>
    <t>Descent of air from stratosphere to troposphere in Antarctic winter is proposed to be feasible, because of forcing from above by subsidence plus wave-breaking, together with suction from below to resupply the katabatic winds which flow down the slopes of the Antarctic Plateau in the boundary layer. In Antarctic winter, there is no real tropopause to prevent such descent, hence the quotes in the title: the temperature profile is often that of a radiative equilibrium atmosphere. Such descent would be important because the dryness and low precipitation over the Antarctic Plateau would be less altered during global warming, because there would be an alternative fractionation pathway for H2O18 and HDO in Antarctic ice-cores, and because the ozone budget in the unpolluted troposphere of the southern hemisphere would be significantly different. Each of these features could have a major impact on climate or on the study of climate. (C) 2003 COSPAR. Published by Elsevier Ltd. All rights reserved.</t>
  </si>
  <si>
    <t>British Antarctic Survey, NERC, Cambridge CB3 O3T, England</t>
  </si>
  <si>
    <t>Roscoe, HK (corresponding author), British Antarctic Survey, NERC, Madingley Rd, Cambridge CB3 O3T, England.</t>
  </si>
  <si>
    <t>h.roscoe@bas.ac.uk</t>
  </si>
  <si>
    <t>KIDLINGTON</t>
  </si>
  <si>
    <t>THE BOULEVARD, LANGFORD LANE,, KIDLINGTON OX5 1GB, OXFORD, ENGLAND</t>
  </si>
  <si>
    <t>0273-1177</t>
  </si>
  <si>
    <t>ADV SPACE RES</t>
  </si>
  <si>
    <t>10.1016/S0273-1177(03)00587-8</t>
  </si>
  <si>
    <t>Engineering, Aerospace; Astronomy &amp; Astrophysics; Environmental Sciences; Geosciences, Multidisciplinary; Meteorology &amp; Atmospheric Sciences; Remote Sensing</t>
  </si>
  <si>
    <t>Engineering; Astronomy &amp; Astrophysics; Environmental Sciences &amp; Ecology; Geology; Meteorology &amp; Atmospheric Sciences; Remote Sensing</t>
  </si>
  <si>
    <t>BAF40</t>
  </si>
  <si>
    <t>WOS:000222000000006</t>
  </si>
  <si>
    <t>Meguro, H; Toba, Y; Murakami, H; Kimura, N</t>
  </si>
  <si>
    <t>Simultaneous remote sensing of chlorophyll, sea ice and sea surface temperature in the Antarctic waters with special reference to the primary production from ice algae</t>
  </si>
  <si>
    <t>chlorophyll; Antarctic; remote sensing; ice algae</t>
  </si>
  <si>
    <t>SOUTHERN-OCEAN; PACK ICE; WEDDELL SEA; DIATOMS; IRON; DISTRIBUTIONS; PHYTOPLANKTON; COMMUNITIES; REGIONS; GROWTH</t>
  </si>
  <si>
    <t>The primary production of the Antarctic Ocean south of 60degreesS was studied by using monthly chlorophyll-a concentration (Chl) and sea surface temperature (SST) from November 1996 to April 1997, as observed by the Ocean Color and Temperature Sensor (OCTS) aboard the Advanced Earth Observing Satellite (ADEOS). The area was divided into six sectors: (A) West and (a) East Pacific, (B) West and (b) East Atlantic, and (C) West and (c) East Indian Ocean. Sectors (A), (B), and (C) showed high Chl, and (a), (b), and (c) showed low Chl. The high Chl sectors were characterized by the wide ice covered area in spring and summer. The average Chl was 0.35 mg/m(3). A high Chl of 0.6-2.1 mg/m(3) was found only at the ice melting area (SST below 0degrees) and probably originated from the liberation of the seasonal primary production by ice algae. The result shows a strong contribution of sea ice and ice algae to primary production and to the regionally heterogeneous Chl distribution by the drifting of Chl-containing ice to the melting spots. We propose a hypothesis of iron supply via snow covered sea ice as follows: iron is (1) collected from the atmosphere, (2) made soluble, (3) supplied vertically to the ice algae below, (4) taken up by diatom cells, and (5) transported to the ice melting areas. (C) 2003 COSPAR. Published by Elsevier Ltd. All rights reserved.</t>
  </si>
  <si>
    <t>Tohoku Fukushi Univ, Kansai Fukushi Res Ctr, Sendai, Miyagi 9818522, Japan; Natl Space Dev Agcy Japan, Earth Observ Res Ctr, Tokyo 1046023, Japan; Res Inst Environm Sci &amp; Publ Hlth, Morioka, Iwate 0200852, Japan</t>
  </si>
  <si>
    <t>Japan Aerospace Exploration Agency (JAXA)</t>
  </si>
  <si>
    <t>Meguro, H (corresponding author), Tohoku Fukushi Univ, Kansai Fukushi Res Ctr, Sendai, Miyagi 9818522, Japan.</t>
  </si>
  <si>
    <t>meguro@mb.kcom.ne.jp</t>
  </si>
  <si>
    <t>10.1016/S0273-1177(03)00368-5</t>
  </si>
  <si>
    <t>WOS:000222000000027</t>
  </si>
  <si>
    <t>Jones, JM; Widmann, M</t>
  </si>
  <si>
    <t>Fischer, H; Kumke, T; Lohmann, G; Floser, G; Miller, H; VonStorch, H</t>
  </si>
  <si>
    <t>Reconstructing large-scale variability from palaeoclimatic evidence by means of Data Assimilation Through Upscaling and Nudging (DATUN)</t>
  </si>
  <si>
    <t>CLIMATE IN HISTORICAL TIMES: TOWARDS A SYNTHESIS OF HOLOCENCE PROXY DATA AND CLIMATE MODELS</t>
  </si>
  <si>
    <t>GKSS SCHOOL OF ENVIRONMENTAL RESEARCH</t>
  </si>
  <si>
    <t>KIHZ Meeting 2001</t>
  </si>
  <si>
    <t>SEP 26, 2001</t>
  </si>
  <si>
    <t>Wilhelmshaven, GERMANY</t>
  </si>
  <si>
    <t>This chapter describes a newly developed approach for extracting the climate signal from proxy records, termed DATUN (Data Assimilation Through Upscaling and Nudging). The first half of the paper describes the development of an estimate of the strength of the Austral Summer Antarctic Oscillation using station sea level pressure records for the period 1878-1985, the first to our knowledge. To extend this record further back, a estimate using tree-ring chronologies back to 1743 has also been undertaken. Comparison of the two estimates shows moderate agreement on interannual and decadal timescales, but the comparison also points towards the inherent uncertainties of proxy-based climate reconstructions. The background to, and theory behind, assimilation of large-scale climate patterns in general circulation models using pattern nudging axe then explained. First results of nudging towards prescribed states of the Arctic Oscillation are shown.</t>
  </si>
  <si>
    <t>GKSS Forschungszentrum Geesthacht GmbH, Inst Kustenforsch, D-21502 Geesthacht, Germany</t>
  </si>
  <si>
    <t>Jones, JM (corresponding author), GKSS Forschungszentrum Geesthacht GmbH, Inst Kustenforsch, Max Planck Str 1, D-21502 Geesthacht, Germany.</t>
  </si>
  <si>
    <t>Widmann, Martin/P-5178-2015</t>
  </si>
  <si>
    <t>Widmann, Martin/0000-0001-5447-5763</t>
  </si>
  <si>
    <t>233 SPRING STREET, NEW YORK, NY 10013, UNITED STATES</t>
  </si>
  <si>
    <t>1437-028X</t>
  </si>
  <si>
    <t>3-540-20601-9</t>
  </si>
  <si>
    <t>GKSS SCH ENVIRONM</t>
  </si>
  <si>
    <t>Environmental Sciences; Geosciences, Multidisciplinary; Paleontology</t>
  </si>
  <si>
    <t>Environmental Sciences &amp; Ecology; Geology; Paleontology</t>
  </si>
  <si>
    <t>BAF62</t>
  </si>
  <si>
    <t>WOS:000222026200010</t>
  </si>
  <si>
    <t>Dai, A; Washington, WM; Meehl, GA; Bettge, TW; Strand, WG</t>
  </si>
  <si>
    <t>The ACPI climate change simulations</t>
  </si>
  <si>
    <t>CLIMATIC CHANGE</t>
  </si>
  <si>
    <t>SYSTEM MODEL; OCEAN; CO2; 21ST-CENTURY; 20TH-CENTURY; EQUILIBRIUM; SENSITIVITY</t>
  </si>
  <si>
    <t>The Parallel Climate Model (PCM) has been used in the Accelerated Climate Prediction Initiative ( ACPI) Program to simulate the global climate response to projected CO2, sulfate, and other greenhouse gas forcing under a business-as-usual emissions scenario during the 21st century. In these runs, the oceans were initialized to 1995 conditions by a group from the Scripps Institution of Oceanography and other institutions. An ensemble of three model runs was then carried out to the year 2099 using the projected forcing. Atmospheric data from these runs were saved at 6-hourly intervals ( hourly for certain critical fields) to support the ACPI objective of accurately modeling hydrological cycles over the western U. S. It is shown that the initialization to 1995 conditions partly removes the un-forced oceanic temperature and salinity drifts that occurred in the standard 20th century integration. The ACPI runs show a global surface temperature increase of 3 - 8 degreesC over northern high-latitudes by the end of the 21st century, and 1 - 2 degreesC over the oceans. This is generally within +/- 0.1 degreesC of model runs without the 1995 ocean initialization. The exception is in the Antarctic circumpolar ocean where surface air temperature is cooler in the ACPI run; however the ensemble scatter is large in this region. Although the difference in climate at the end of the 21st century is minimal between the ACPI runs and traditionally spun up runs, it might be larger for CGCMs with higher climate sensitivity or larger ocean drifts. Our results suggest that the effect of small errors in the oceans ( such as those associated with climate drifts) on CGCM-simulated climate changes for the next 50 - 100 years may be negligible.</t>
  </si>
  <si>
    <t>Natl Ctr Atmospher Res, Boulder, CO 80307 USA</t>
  </si>
  <si>
    <t>Natl Ctr Atmospher Res, POB 3000, Boulder, CO 80307 USA.</t>
  </si>
  <si>
    <t>adai@ucar.edu</t>
  </si>
  <si>
    <t>Dai, Aiguo/D-3487-2009; Dai, Aiguo/Y-2443-2019</t>
  </si>
  <si>
    <t>Strand, Warren/0000-0001-9740-0104</t>
  </si>
  <si>
    <t>0165-0009</t>
  </si>
  <si>
    <t>1573-1480</t>
  </si>
  <si>
    <t>Clim. Change</t>
  </si>
  <si>
    <t>JAN-FEB</t>
  </si>
  <si>
    <t>10.1023/B:CLIM.0000013679.74883.e6</t>
  </si>
  <si>
    <t>768FA</t>
  </si>
  <si>
    <t>WOS:000188531900003</t>
  </si>
  <si>
    <t>Malin, G; Steinke, M</t>
  </si>
  <si>
    <t>Thierstein, HR; Young, JR</t>
  </si>
  <si>
    <t>Dimethyl sulfide production: what is the contribution of the coccolithophores?</t>
  </si>
  <si>
    <t>COCCOLITHOPHORES: FROM MOLECULAR PROCESSES TO GLOBAL IMPACT</t>
  </si>
  <si>
    <t>Conference on Coccolithophores - From Molecular Processes to Global Impact</t>
  </si>
  <si>
    <t>FEB 10-15, 2002</t>
  </si>
  <si>
    <t>Ascona, SWITZERLAND</t>
  </si>
  <si>
    <t>DMSP-LYASE ACTIVITY; EQUATORIAL PACIFIC-OCEAN; NORTHERN NORTH-SEA; PHYTOPLANKTON CELL-LYSIS; ANTARCTIC SOUTHERN-OCEAN; 18S RDNA SEQUENCES; MARGINAL ICE-ZONE; MARINE-PHYTOPLANKTON; EMILIANIA-HUXLEYI; DIMETHYLSULFONIOPROPIONATE DMSP</t>
  </si>
  <si>
    <t>It is hard to find a research paper or book on coccolithophores that does not include a few sentences on the role of this fascinating and enigmatic marine phytoplankton group in the production of dimethyl sulfide ((CH3)(2)S; DMS). Our aim here is to provide some general background information on DMS for nonspecialists, but also to highlight current knowledge and what we believe to be significant gaps, for those with a specific interest in coccolithophores, other haptophytes and DMS.</t>
  </si>
  <si>
    <t>Univ E Anglia, Sch Environm Sci, Norwich NR4 7TJ, Norfolk, England</t>
  </si>
  <si>
    <t>University of East Anglia</t>
  </si>
  <si>
    <t>Univ E Anglia, Sch Environm Sci, Norwich NR4 7TJ, Norfolk, England.</t>
  </si>
  <si>
    <t>G.Malin@uea.ac.uk; M.Steinke@uea.ac.uk</t>
  </si>
  <si>
    <t>Malin, Gill/C-6985-2009; Steinke, Michael/A-6137-2012</t>
  </si>
  <si>
    <t>Steinke, Michael/0000-0001-6820-0154</t>
  </si>
  <si>
    <t>3-540-21928-5</t>
  </si>
  <si>
    <t>Ecology; Evolutionary Biology; Marine &amp; Freshwater Biology</t>
  </si>
  <si>
    <t>Environmental Sciences &amp; Ecology; Evolutionary Biology; Marine &amp; Freshwater Biology</t>
  </si>
  <si>
    <t>BAV64</t>
  </si>
  <si>
    <t>WOS:000223810600006</t>
  </si>
  <si>
    <t>Ziveri, P; Baumann, KH; Böckel, B; Bollmann, J; Young, JR</t>
  </si>
  <si>
    <t>Biogeography of selected Holocene coccoliths in the Atlantic Ocean</t>
  </si>
  <si>
    <t>EXPORT PRODUCTION; GEPHYROCAPSA COCCOLITHS; SURFACE SEDIMENTS; UPWELLING REGION; CALIFORNIA; PHYTOPLANKTON; CIRCULATION; PLEISTOCENE; PLANKTON; SYSTEM</t>
  </si>
  <si>
    <t>In this chapter we present a revision of the biogeographical distribution of five coccolithophorid species (Coccolithus pelagicus, Calcidiscus leptoporus, Helicosphaera carteri, Syracosphaera pulchra and Umbilicosphaera sibogae) and the genus Gephyrocapsa in the Atlantic Ocean. The mapping is based on surface sediment samples. Each of the taxa considered here constitutes an unambiguous morphological group ideal for rapid low taxonomic resolution analysis of assemblages, which is a tempting strategy for ecological and paleoecological analysis of assemblages. However, in each case recent research has indicated that these broad taxa are in fact composed of several discrete species, or sub-species. The clearest example is C. pelagicus, with discrete morphotypes in sub-Arctic and temperate upwelling areas. For Gephyrocapsa and Umbilicosphaera the separation is less obvious but still unambiguous. Species separation is manifestly essential to understanding the biogeography of these taxa. For H. carteri and S. pulchra the mapped distributions are relatively straightforward and we do not yet know how they relate to the recently proven genotypic variation within the taxa. At high latitudes temperature and productivity belts parallel each other and the effects are difficult to distinguish. At lower latitudes however, the effects are more clearly separable - it is for instance obvious that S. pulchra shows a warm water low productivity preference whilst H. carteri shows a warm water higher productivity distribution. In particular there are several cases where distribution patterns in the North and South Atlantic are strikingly different. These include the absence of C. pelagicus in the sub-Antarctic; the much higher abundance of C. leptoporus in temperate South Atlantic than North Atlantic; much higher abundance of U. sibogae var. sibogae in the oligotrophic South Atlantic than the North Atlantic. The Calcidiscus and Umbilicosphaera patterns are more symmetric, since the North and South Atlantic show broadly similar sets of environments in terms of temperature, salinity, productivity and macronutrients (nitrate, phosphate and silicate). Obvious possible hypotheses are that the populations in the two oceans are sufficiently separated to have evolved slightly different ecological tolerances or that an additional factor, such as a trace element is responsible for the distribution contrasts. More generally we suspect that the comparably broad coccolithophorid biogeographic zones in all oceans and the absence of obvious vicariance in coccolith species distributions may have prevented recognition of significant contrasts between oceans, although such contrasts may provide key clues for interpreting past temporal shifts in assemblages.</t>
  </si>
  <si>
    <t>Free Univ Amsterdam, Fac Life &amp; Earth Sci, Dept Paleoclimatol &amp; Paleoecol, NL-1081 HV Amsterdam, Netherlands</t>
  </si>
  <si>
    <t>Vrije Universiteit Amsterdam</t>
  </si>
  <si>
    <t>Free Univ Amsterdam, Fac Life &amp; Earth Sci, Dept Paleoclimatol &amp; Paleoecol, De Boelelaan 1105, NL-1081 HV Amsterdam, Netherlands.</t>
  </si>
  <si>
    <t>zivp@geo.vu.nl; baumann@uni-bremen.de; bboeckel@uni-bremen.de; bolle@erdw.ethz.ch; j.young@nhm.ac.uk</t>
  </si>
  <si>
    <t>Ziveri, Patrizia/I-3856-2015</t>
  </si>
  <si>
    <t>Ziveri, Patrizia/0000-0002-5576-0301</t>
  </si>
  <si>
    <t>WOS:000223810600015</t>
  </si>
  <si>
    <t>Tocher, DR; Fonseca-Madrigal, J; Dick, JR; Ng, WK; Bell, JG; Campbell, PJ</t>
  </si>
  <si>
    <t>Effects of water temperature and diets containing palm oil on fatty acid desaturation and oxidation in hepatocytes and intestinal enterocytes of rainbow trout (Oncorhynchus mykiss)</t>
  </si>
  <si>
    <t>desaturation; enterocytes; hepatocytes; beta-oxidation; palm oil; polyunsaturated fatty acids; rainbow trout</t>
  </si>
  <si>
    <t>SALMON SALMO-SALAR; PEROXISOMAL BETA-OXIDATION; ANTARCTIC FISH; LIPID SOURCES; COA OXIDASE; RAT-LIVER; METABOLISM; TISSUE; CARP; DELTA(9)-DESATURASE</t>
  </si>
  <si>
    <t>Food grade fisheries have reached their sustainable limits while aquaculture production has increased to meet consumer demands. However, for growth in aquaculture to continue and utilise sustainable, feeding ingredients, alternatives to fish oil (170), the predominant lipid component of fish diets, must be developed. Therefore, there is currently considerable interest in the regulation of fatty acid metabolism in fish in order to determine strategies for the best use of plant oils in diets for commercially important cultured fish species. Plant oils are characteristically rich in C-18 polyunsaturated fatty acids (PUFA) but devoid of C-20 and C-22 highly unsaturated fatty acids (HUFA) found in FO. The fatty acyl desaturase enzyme activities involved in the biosynthesis of HUFA from PUFA are known to be under nutritional regulation and can be increased in fish fed diets rich in plant oils. However, fatty acid desaturase activity is also known to be modulated by water temperature in fish. The present study aimed to investigate the interaction between water temperature and diet in the regulation of fatty acid metabolism in rainbow trout. Trout, acclimatized to 7, 11 or 15 degreesC, were fed for 4 weeks on diets in which the FO was replaced in a graded manner by palm oil. At the end of the trial, fatty acyl desaturation/elongation and beta-oxidation activities were determined in isolated hepatocytes and intestinal enterocytes using [1-C-14]18:3n-3 as substrate, and samples of liver were collected for analysis of lipid and fatty acid composition. The most obvious effect of temperature was that fatty acid desaturation/elongation and beta-oxidation were reduced in both hepatocytes and intestinal enterocytes from fish maintained at the highest water temperature (15 degreesC). There were differences between the two tissues with the highest desaturation/elongation and beta-oxidation activities tending to be in fish held at I I degreesC in the case of hepatocytes, but 7 degreesC in enterocytes. Correlations between fatty acid metabolism and dietary palm oil were most clearly observed in desaturation/elongation activities in both hepatocytes and enterocytes at I I degreesC. The highest beta-oxidation activities were generally observed in fish fed FO alone in both hepatocytes and enterocytes with palm oil having differential effects in the two cell types. (C) 2003 Elsevier Inc. All rights reserved.</t>
  </si>
  <si>
    <t>Univ Stirling, Inst Aquaculture, Stirling FK9 4LA, Scotland; Univ Sains Malaysia, Sch Biol Sci, Fish Nutr Lab, George Town, Malaysia; BioMar Ltd, Grangemouth FK3 8UL, Scotland</t>
  </si>
  <si>
    <t>University of Stirling; Universiti Sains Malaysia</t>
  </si>
  <si>
    <t>Univ Stirling, Inst Aquaculture, Stirling FK9 4LA, Scotland.</t>
  </si>
  <si>
    <t>d.r.tocher@stir.ac.uk</t>
  </si>
  <si>
    <t>Ng, Wing-Keong/E-6327-2012; Tocher, Douglas/C-5652-2011</t>
  </si>
  <si>
    <t>Ng, Wing-Keong/0000-0002-8183-7640; Fonseca-Madrigal, Jorge/0000-0003-2861-6918; Tocher, Douglas/0000-0002-8603-9410; Universidad Michoacana de San Nicolas de Hidalgo, Laboratorio Nacional de Nutrigenomica y Microbiomica Digestiva Animal/0000-0002-0759-6025</t>
  </si>
  <si>
    <t>10.1016/j.cbpc.2003.10.002</t>
  </si>
  <si>
    <t>763DK</t>
  </si>
  <si>
    <t>WOS:000188058800005</t>
  </si>
  <si>
    <t>Fatkullin, MN; Solodovnikov, GK; Trubitsyn, VM</t>
  </si>
  <si>
    <t>Empirical modeling of the statistical structure of radio signals from satellites moving over mid- and high-latitude trajectories in the southern hemisphere</t>
  </si>
  <si>
    <t>COSMIC RESEARCH</t>
  </si>
  <si>
    <t>The results of developing the empirical model of parameters of radio signals propagating in the inhomogeneous ionosphere at middle and high latitudes are presented. As the initial data we took the homogeneous data obtained as a result of observations carried out at the Antarctic Molodezhnaya station by the method of continuous transmission probing of the ionosphere by signals of the satellite radionavigation Transit system at coherent frequencies of 150 and 400 MHz. The data relate to the summer season period in the Southern hemisphere of the Earth in 1988-1989 during high (F &gt; 160) activity of the Sun. The behavior of the following statistical characteristics of radio signal parameters was analyzed: (a) the interval of correlation of fluctuations of amplitudes at a frequency of 150 MHz (tau(kA)); (b) the interval of correlation of fluctuations of the difference phase (tau(kphi)); and (c) the parameter characterizing frequency spectra of amplitude (P-A) and phase (P-phi) fluctuations. A third-degree polynomial was used for modeling of propagation parameters. For all above indicated propagation, parameters, the coefficients of the third-degree polynomial were calculated as a function of local time and magnetic activity. The results of calculations are tabulated.</t>
  </si>
  <si>
    <t>Russian Acad Sci, Inst Terr Magnetism Ionosphere &amp; Radiowave Propag, Troitsk, Moscow Oblast, Russia</t>
  </si>
  <si>
    <t>Russian Academy of Sciences; Pushkov Institute of Terrestrial Magnetism, Ionosphere &amp; Radio Wave Propagation</t>
  </si>
  <si>
    <t>Fatkullin, MN (corresponding author), Russian Acad Sci, Inst Terr Magnetism Ionosphere &amp; Radiowave Propag, Troitsk, Moscow Oblast, Russia.</t>
  </si>
  <si>
    <t>MAIK NAUKA/INTERPERIODICA</t>
  </si>
  <si>
    <t>C/O KLUWER ACADEMIC-PLENUM PUBLISHERS, 233 SPRING ST, NEW YORK, NY 10013-1578 USA</t>
  </si>
  <si>
    <t>0010-9525</t>
  </si>
  <si>
    <t>COSMIC RES+</t>
  </si>
  <si>
    <t>Cosmic Res.</t>
  </si>
  <si>
    <t>10.1023/B:COSM.0000017555.24463.86</t>
  </si>
  <si>
    <t>Engineering, Aerospace; Astronomy &amp; Astrophysics</t>
  </si>
  <si>
    <t>Engineering; Astronomy &amp; Astrophysics</t>
  </si>
  <si>
    <t>804ZT</t>
  </si>
  <si>
    <t>WOS:000220337300002</t>
  </si>
  <si>
    <t>Mazzei, F; Umberto, O; Alfieri, V; Coscia, MR; Ozouf-Costaz, C; Ghigliotti, L; Pisano, E</t>
  </si>
  <si>
    <t>Comparative cytogenetic mapping of the IgH locus in Antarctic fish species (suborder Notothenioidei, family Nototheniidae)</t>
  </si>
  <si>
    <t>CYTOGENETIC AND GENOME RESEARCH</t>
  </si>
  <si>
    <t>16th European Colloquium on Animal Cytogenetics and Gene Mapping (16th ECACGM)</t>
  </si>
  <si>
    <t>JUL 06-09, 2004</t>
  </si>
  <si>
    <t>Jouy en Josas, FRANCE</t>
  </si>
  <si>
    <t>Univ Genoa, Dept Biol, Genoa, Italy; CNR, Inst Prot Biochem, I-80125 Naples, Italy; CNRS, Serv Systemat Mol, Paris, France</t>
  </si>
  <si>
    <t>University of Genoa; Consiglio Nazionale delle Ricerche (CNR); Istituto di Biochimica delle Proteine (IBP-CNR); Centre National de la Recherche Scientifique (CNRS)</t>
  </si>
  <si>
    <t>Ghigliotti, Laura/J-3076-2012; Coscia, Maria Rosaria/AAU-1808-2021; Ghigliotti, Laura/AAN-6843-2021</t>
  </si>
  <si>
    <t>Ghigliotti, Laura/0000-0003-2139-1381</t>
  </si>
  <si>
    <t>KARGER</t>
  </si>
  <si>
    <t>ALLSCHWILERSTRASSE 10, CH-4009 BASEL, SWITZERLAND</t>
  </si>
  <si>
    <t>1424-8581</t>
  </si>
  <si>
    <t>CYTOGENET GENOME RES</t>
  </si>
  <si>
    <t>Cytogenet. Genome Res.</t>
  </si>
  <si>
    <t>P20</t>
  </si>
  <si>
    <t>Cell Biology; Genetics &amp; Heredity</t>
  </si>
  <si>
    <t>859DU</t>
  </si>
  <si>
    <t>WOS:000224243600050</t>
  </si>
  <si>
    <t>Cherel, Y; Duhamel, G</t>
  </si>
  <si>
    <t>Antarctic jaws: cephalopod prey of sharks in Kerguelen waters</t>
  </si>
  <si>
    <t>giant squids; Kondakovia longimana; lanternsharks; Mesonychoteuthis hamiltoni; porbeagles; sleeper sharks; southern ocean; Taningia danae</t>
  </si>
  <si>
    <t>SOUTHERN ELEPHANT SEALS; FEEDING ECOLOGY; HEARD-ISLAND; APTENODYTES-PATAGONICUS; COMMERCIAL FISHERIES; MARINE RESOURCES; MIROUNGA-LEONINA; STOMACH CONTENTS; KING PENGUINS; DIET</t>
  </si>
  <si>
    <t>Only five species of sharks have been recorded in the Southern Ocean, where their biology is essentially unknown. We investigated the feeding habits of the three commonest species from stomach content analysis of specimens taken as bycatches of the fishery targeting the Patagonian toothfish (Dissostichus eleginoides) in upper slope waters of the Kerguelen Archipelago. The three species prey upon a diversity of fishes and cephalopods. They segregate by feeding on different species of squids of different sizes. The small lanternsharks (Etmopterus cf. granulosus; 0.3 m on average) feed on small-sized Mastigoteuthis psychrophila, while the large porbeagles (Lamna nasus; 1.9 m) feed on small-sized histioteuthids (Histioteuthis atlantica and H. eltaninae) and on medium-sized juvenile ommastrephids of the genus Todarodes. Finally, the huge sleeper sharks (Somniosus cf. microcephalus; 3.9 m) prey upon large-sized cephalopods (Kondakovia longimana and Taningia danae) and giant squids (Mesonychoteuthis hamiltoni and Architeuthis dux). Thus sleeper shark is a fish with sperm whale-like feeding habits and, hence, the second top predator known to science to rely significantly on giant squids. Prey species and biology indicate that porbeagles are pelagic predators in the entire water column, while sleeper sharks are mainly benthic top predators and scavengers. The present study also underlines the diversity and biomass of the poorly known cephalopod fauna, including giant squids, occurring in outer shelf and upper slope waters surrounding subantarctic islands. (C) 2003 Elsevier Ltd. All rights reserved.</t>
  </si>
  <si>
    <t>CNRS, UPR 1934, Ctr Etud Biol Chize, F-79360 Villiers en Bois, France; Museum Natl Hist Nat, USM403, Dept Milieux &amp; Peuplements Marins, F-75231 Paris 05, France</t>
  </si>
  <si>
    <t>Centre National de la Recherche Scientifique (CNRS); Museum National d'Histoire Naturelle (MNHN)</t>
  </si>
  <si>
    <t>Cherel, Y (corresponding author), CNRS, UPR 1934, Ctr Etud Biol Chize, BP 14, F-79360 Villiers en Bois, France.</t>
  </si>
  <si>
    <t>cherel@cebc.cnrs.fr</t>
  </si>
  <si>
    <t>10.1016/j.dsr.2003.09.009</t>
  </si>
  <si>
    <t>874UJ</t>
  </si>
  <si>
    <t>WOS:000225375300002</t>
  </si>
  <si>
    <t>Korb, RE; Whitehouse, MJ; Ward, P</t>
  </si>
  <si>
    <t>SeaWiFS in the southern ocean: spatial and temporal variability in phytoplankton biomass around South Georgia</t>
  </si>
  <si>
    <t>DEEP-SEA RESEARCH PART II-TOPICAL STUDIES IN OCEANOGRAPHY</t>
  </si>
  <si>
    <t>CIRCUMPOLAR CURRENT FRONT; SUB-ANTARCTIC ISLAND; WEDDELL-SEA; ICE-EDGE; TEMPERATURE; DISTRIBUTIONS; ZOOPLANKTON; COPEPOD; SUMMER; NORTH</t>
  </si>
  <si>
    <t>SeaWiFS was used to examine the spatial and temporal distribution of chlorophyll-a (chl-a) concentrations around the island of South Georgia during four summers between October 1997 and March 2001. A comparison was made between SeaWiFS and ship-collected (in situ) chl-a gathered during three of these seasons. A significant correlation was found between daily SeaWiFS and in situ match-ups (r(2) = 0.62). At low chl-a concentrations ( &lt; 1 mg m(-3)), SeaWiFS estimates were approximately 87% of in situ values, but only 30% at high chl-a concentrations ( &gt; 5 mg m(-3)). Analysis of SeaWiFS data from two survey boxes (the Western and Eastern Core Boxes) sampled during cruises indicated significant differences between seasons and regions; the 1999 and 2000 seasons were nearly twice as productive as the 1998 and 2001 seasons. In addition, phytoplankton biomass was significantly higher in the Western (similar to1.4 mg m(-3)) than in the Eastern Core Box (similar to0.6 mg m(-3)). These seasonal and regional differences also were reflected in the distribution of copepods, one of the major zooplankton groups around South Georgia. SeaWiFS revealed patterns of growth outside of the survey boxes and cruise periods (January only). Blooms regularly occurred to the southwest and directly north of the island, and occasionally occupied the entire area between South Georgia and the Polar Front. In addition, blooms took place any time between October and March but not continuously. Primary production at South Georgia is mainly a local feature with little growth initiated upstream. However, chl-a may remain elevated downstream of the island (similar to40degreesW) as part of a continuous feature along the Polar Front to the 0degrees meridian. The passage of the Antarctic Circumpolar Current over the ridge and shelf waters in the vicinity of South Georgia may contribute micronutrients such as iron, and could partially explain the elevated chl-a levels associated with the island. We also examine the role of temperature, light and grazing on controlling phytoplankton productivity in this region of the Southern Ocean. (C) 2004 Elsevier Ltd. All rights reserved.</t>
  </si>
  <si>
    <t>British Antarctic Survey, NERC, Madingley Rd,High Cross, Cambridge CB3 0ET, England.</t>
  </si>
  <si>
    <t>rk@bas.ac.uk</t>
  </si>
  <si>
    <t>0967-0645</t>
  </si>
  <si>
    <t>1879-0100</t>
  </si>
  <si>
    <t>DEEP-SEA RES PT II</t>
  </si>
  <si>
    <t>Deep-Sea Res. Part II-Top. Stud. Oceanogr.</t>
  </si>
  <si>
    <t>10.1016/j.dsr2.2003.04.002</t>
  </si>
  <si>
    <t>831CI</t>
  </si>
  <si>
    <t>WOS:000222170100007</t>
  </si>
  <si>
    <t>Palma, S; Silva, N</t>
  </si>
  <si>
    <t>Distribution of siphonophores, chaetognaths, euphausiids and oceanographic conditions in the fjords and channels of southern Chile</t>
  </si>
  <si>
    <t>BATHYMETRIC DISTRIBUTION; WESTERN NORWAY; ZOOPLANKTON; COMMUNITY; MAGELLAN; ABUNDANCE; COPEPODS; CARBON</t>
  </si>
  <si>
    <t>Interior waters of the fjords and channels of southern Chile (41.5degreesS-56degreesS) receive inputs of Subantarctic Water, Equatorial Subsuperficial Water and Western Pacific Subsurface Water from the adjacent Pacific Ocean by means of numerous connecting channels that lead inward from the ocean margin. These waters become mixed in the interior zone with freshwater from precipitation, river flow, and meltwater from cordilleran glaciers. A two-layered positive estuarine circulation becomes established, with a superficial layer having a net movement towards the adjacent ocean, and a deep layer with net movement towards the fjords. The biomass of the interior waters is composed principally of planktonic crustaceans (copepods and euphausiids), chaetognaths, and gelatinous carnivores. In a southerly direction, decreases are observed in biomass, in relative abundance, and in species diversity of siphonophores, chaetognaths, and euphausiids. Only a few species have been able to adapt successfully to the extreme oceanographic conditions typical of the region, reflected in dominant monospecific populations such as Muggiaea atlantica, Sagitta tasmanica, and Euphausia vallentini. The zooplankton fauna of interior waters, characterized by its low degree of specific richness, is made up of a mixture of species typical of Subantarctic Water (Sagitta tasmanica, S. decipiens, Euphausia lucens, Nematoscelis megalops, Thysanoessa gregaria), antarctic water (Pyrosthephos vanhoeffeni, Dimophyes arctica, Sagitta marri, S. gazellae, Eukrohnia hamata, E bathyantarctica, Euphausia vallentini), temperate and warm epipelagic waters (Eudoxoides spiralis, Lensia conoidea, Chelophyes appendiculata, Muggiaea atlantica, Sphaeronectes gracilis, S. fragilis, Abylopsis tetragona, Sagitta enflata), and mesopelagic water (Physophora hydrostatica, Stylocheiron maximum, Vogtia pentacantha, V serrata). (C) 2004 Elsevier Ltd. All rights reserved.</t>
  </si>
  <si>
    <t>Pontificia Univ Catolica Valparaiso, Escuela Ciencias Mar, Valparaiso 1020, Chile</t>
  </si>
  <si>
    <t>Pontificia Universidad Catolica de Valparaiso</t>
  </si>
  <si>
    <t>Pontificia Univ Catolica Valparaiso, Escuela Ciencias Mar, Valparaiso 1020, Chile.</t>
  </si>
  <si>
    <t>spalma@ucv.cl; nsilva@ucv.cl</t>
  </si>
  <si>
    <t>6-9</t>
  </si>
  <si>
    <t>10.1016/j.dsr2.2004.05.001</t>
  </si>
  <si>
    <t>859MK</t>
  </si>
  <si>
    <t>WOS:000224267700002</t>
  </si>
  <si>
    <t>Watkins, JL; Hewitt, R; Naganobu, M; Sushin, V</t>
  </si>
  <si>
    <t>The CCAMLR 2000 Survey: a multinational, multi-ship biological oceanography survey of the Atlantic sector of the Southern Ocean</t>
  </si>
  <si>
    <t>KRILL; GEORGIA</t>
  </si>
  <si>
    <t>The CCAMLR 2000 Survey is the first large-scale multinational, multi-ship survey in the Southern Ocean since 1979/80. Conducted using strict method protocols and within a 32-day time frame it provides a truly synoptic view of the oceanography, zooplankton, krill, and higher predator biomass and distribution for the Scotia Sea and Antarctic Peninsula region. The innovative design of interleaved transects surveyed only during the hours of daylight has provided a comprehensive and robust estimate of krill biomass. (C) 2004 Elsevier Ltd. All rights reserved.</t>
  </si>
  <si>
    <t>British Antarctic Survey, NERC, Cambridge CB3 0ET, England; SW Fisheries Sci Ctr, Antarctic Ecosyst Res Div, La Jolla, CA 92038 USA; Natl Res Inst Far Seas Fisheries, Shimizu, Shizuoka 4248633, Japan; Atlantic Sci Res Inst Marine Fisheries &amp; Oceanog, AtlantNIRO, Kaliningrad 236000, Russia</t>
  </si>
  <si>
    <t>UK Research &amp; Innovation (UKRI); Natural Environment Research Council (NERC); NERC British Antarctic Survey; National Oceanic Atmospheric Admin (NOAA) - USA; Japan Fisheries Research &amp; Education Agency (FRA); Research lnstitute of Fisheries &amp; Oceanography</t>
  </si>
  <si>
    <t>Watkins, JL (corresponding author), British Antarctic Survey, NERC, High Cross,Madingley Rd, Cambridge CB3 0ET, England.</t>
  </si>
  <si>
    <t>j.watkins@bas.ac.uk</t>
  </si>
  <si>
    <t>12-13</t>
  </si>
  <si>
    <t>10.1016/j.dsr2.2004.06.010</t>
  </si>
  <si>
    <t>876KY</t>
  </si>
  <si>
    <t>WOS:000225496900001</t>
  </si>
  <si>
    <t>Hewitt, RP; Watkins, J; Naganobu, M; Sushin, V; Brierley, AS; Demer, D; Kasatkina, S; Takao, Y; Goss, C; Malyshko, A; Brandon, M; Kawaguchi, S; Siegel, V; Trathan, P; Emery, J; Everson, I; Miller, D</t>
  </si>
  <si>
    <t>Biomass of Antarctic krill in the Scotia Sea in January/February 2000 and its use in revising an estimate of precautionary yield</t>
  </si>
  <si>
    <t>EUPHAUSIA-SUPERBA; ICE EXTENT; ELEPHANT-ISLAND; SOUTH GEORGIA; ABUNDANCE; ECOSYSTEM; VARIABILITY; FISHERIES; FLUCTUATIONS; PENINSULA</t>
  </si>
  <si>
    <t>In January and February 2000, a collaborative survey designed to assess the biomass of Antarctic krill across the Scotia Sea was conducted aboard research vessels from Japan, Russia, the UK and the USA using active acoustic and net sampling. Survey design, sampling protocols, and data analysis procedures are described. Mean krill density across the survey area was estimated to be 21.4 gm(-2), and total biomass was estimated to be 44.3 million tonnes (CV 11.4%). This biomass estimate leads to a revised estimate of precautionary yield for krill in the Scotia Sea of 4 million tonnes. However, before the fishery can be permitted to expand to this level, it will be necessary to establish mechanisms to avoid concentration of fishing effort, particularly near colonies of land-breeding krill predators, and to consider the effects of krill immigrating into the region from multiple sources. Published by Elsevier Ltd.</t>
  </si>
  <si>
    <t>SW Fisheries Sci Ctr, La Jolla, CA 92037 USA; British Antarctic Survey, NERC, Cambridge CB3 0ET, England; Natl Res Inst Far Seas Fisheries, Shimizu, Shizuoka, Japan; AtlantNIRO, Kaliningrad 236000, Russia; Natl Res Inst Fisheries Engn, Ibaraki 3140421, Japan; Open Univ, Milton Keynes MK7 6AA, Bucks, England; Inst Seefischerei, D-22767 Hamburg, Germany; Marine &amp; Coastal Management, ZA-8012 Cape Town, South Africa</t>
  </si>
  <si>
    <t>National Oceanic Atmospheric Admin (NOAA) - USA; UK Research &amp; Innovation (UKRI); Natural Environment Research Council (NERC); NERC British Antarctic Survey; Japan Fisheries Research &amp; Education Agency (FRA); Research lnstitute of Fisheries &amp; Oceanography; Japan Fisheries Research &amp; Education Agency (FRA); Open University - UK</t>
  </si>
  <si>
    <t>Hewitt, RP (corresponding author), SW Fisheries Sci Ctr, 8604 Jolla Shores Dr, La Jolla, CA 92037 USA.</t>
  </si>
  <si>
    <t>Brandon, Mark A/A-5804-2010; Kawaguchi, So/N-1795-2017; Brierley, Andrew/G-8019-2011</t>
  </si>
  <si>
    <t>Brandon, Mark/0000-0002-7779-0958; Kawaguchi, So/0000-0002-2042-5095; Brierley, Andrew/0000-0002-6438-6892</t>
  </si>
  <si>
    <t>10.1016/j.dsr2.2004.06.011</t>
  </si>
  <si>
    <t>WOS:000225496900002</t>
  </si>
  <si>
    <t>Demer, DA</t>
  </si>
  <si>
    <t>An estimate of error for the CCAMLR 2000 survey estimate of krill biomass</t>
  </si>
  <si>
    <t>TARGET STRENGTH MEASUREMENTS; EUPHAUSIA-SUPERBA DANA; ANTARCTIC KRILL; BACKSCATTERING STRENGTH; SOUND SCATTERING; 120 KHZ; ZOOPLANKTON; ABUNDANCE; SPHERES; ORIENTATION</t>
  </si>
  <si>
    <t>Combined sampling and measurement error is estimated for the CCAMLR 2000 acoustic estimate of krill abundance in the Scotia Sea. First, some potential sources of uncertainty in generic echo-integration surveys are reviewed. Then, specific to the CCAMLR 2000 survey, some of the primary sources of measurement error is explored. The error in system calibration is evaluated in relation to the effects of variations in water temperature and salinity on sound speed, sound absorption, and acoustic-beam characteristics. Variation in krill target strength is estimated using a distorted-wave Born approximation model fitted with measured distributions of animal lengths and orientations. The variable effectiveness of two-frequency species classification methods is also investigated using the same scattering model. Most of these components of measurement uncertainty are frequency-dependent and covariant. Ultimately, the total random error in the CCAMLR 2000 acoustic estimate of krill abundance is estimated from a Monte Carlo simulation which assumes independent estimates of krill biomass are derived from acoustic backscatter measurements at three frequencies (38, 120, and 200 kHz). The overall coefficient of variation (10.2less than or equal toCVless than or equal to11.6%; 95% CI) is not significantly different from the sampling variance alone (CV = 11.4%). That is, the measurement variance is negligible relative to the sampling variance due to the large number of measurements averaged to derive the ultimate biomass estimate. Some potential sources of bias (e.g., stemming from uncertainties in the target strength model, the krill length-to-weight model, the species classification method, bubble attenuation, signal thresholding, and survey area definition) may be more appreciable components of measurement uncertainty. (C) 2004 Published by Elsevier Ltd.</t>
  </si>
  <si>
    <t>SW Fisheries Sci Ctr, La Jolla, CA 92037 USA</t>
  </si>
  <si>
    <t>National Oceanic Atmospheric Admin (NOAA) - USA</t>
  </si>
  <si>
    <t>Demer, DA (corresponding author), SW Fisheries Sci Ctr, 8604 Jolla Shores Dr, La Jolla, CA 92037 USA.</t>
  </si>
  <si>
    <t>david.demer@noaa.gov</t>
  </si>
  <si>
    <t>10.1016/j.dsr2.2004.06.012</t>
  </si>
  <si>
    <t>WOS:000225496900003</t>
  </si>
  <si>
    <t>Slegel, V; Kawaguchi, S; Ward, P; Litvinov, F; Sushin, V; Loeb, V; Watkins, J</t>
  </si>
  <si>
    <t>Krill demography and large-scale distribution in the southwest Atlantic during January/February 2000</t>
  </si>
  <si>
    <t>EUPHAUSIA-SUPERBA DANA; EAST ANTARCTICA 80-150-DEGREES-E; NORTHERN WEDDELL SEA; SCOTIA SEA; ELEPHANT ISLAND; SOUTHERN-OCEAN; INTERANNUAL VARIABILITY; OCEANOGRAPHIC STRUCTURE; POPULATION-STRUCTURE; BELLINGSHAUSEN SEA</t>
  </si>
  <si>
    <t>This paper summarizes the results of krill demographic studies from the Commission for the Conservation of Antarctic Marine Living Resources 2000 Survey-a large-scale krill survey across the Scotia Sea conducted in January/February 2000. Standard Rectangular Midwater Trawl net tows were carried out at midnight and midday stations between 20degrees and 70degreesW south of the Polar Front. The overall mean numerical density and biomass of krill estimated from nets (247 krill per 1000 m(3) and 18.7 g m(-2), respectively) were similar to lower values reported previously for the Southwest Atlantic, and comparable with high values for other regions of the Southern Ocean. Krill varied in mean size across the survey area, with cluster analyses showing three distinct groups of length-frequency distribution. Small juvenile and immature krill occurred east of the South Orkney Islands. Adult krill &lt; 50 mm dominated the shelf areas of the Antarctic Peninsula and to the north of the juvenile stock across the Scotia Sea. Adult krill &gt; 50 mm were mostly restricted to the west of the South Orkney Islands. Maturity stage composition indicated that peak spawning occurred before early February. Distribution of the spawning stock showed two hotspots, the first between the South Shetland and South Orkney Islands, and the second around the South Sandwich Islands. Reproductive krill were largely absent in the central Scotia Sea and around South Georgia. Krill larvae concentrations occurred slightly to the east of the spawning stock. Mean density of larvae in the western Scotia Sea was 2044 m(-2), but only scattered aggregations of larvae were recorded east of 36degreesW (2 m(-2)). Recruitment indices for 1- and 2-year-old krill were low in the western part of the survey area, the outflow from the Bellingshausen Sea/Antarctic Peninsula region (R-1 = 0.0, R-2 = 0.11) indicating spawning failure and/or poor recruitment for several years. In the eastern part of the survey area, mostly the outflow of the Weddell Sea, recruitment indices were high and above the long-term average (R-1 = 0.60, R-2 = 0.72), suggesting a population with constant and successful reproduction, recruitment and mortality. The distribution and structure of the krill population did not show any clear relationship to the position of the major oceanic fronts in the Scotia Sea. (C) 2004 Elsevier Ltd. All rights reserved.</t>
  </si>
  <si>
    <t>Seafisheries Res Inst, D-22767 Hamburg, Germany; Natl Res Inst Far Seas Fisheries, Shimizu, Shizuoka 4248633, Japan; British Antarctic Survey, NERC, Cambridge CB3 0ET, England; AtlantNIRO, Kaliningrad 236000, Russia; Moss Landing Marine Labs, Moss Landing, CA 95039 USA</t>
  </si>
  <si>
    <t>Japan Fisheries Research &amp; Education Agency (FRA); UK Research &amp; Innovation (UKRI); Natural Environment Research Council (NERC); NERC British Antarctic Survey; Research lnstitute of Fisheries &amp; Oceanography; Moss Landing Marine Laboratories</t>
  </si>
  <si>
    <t>Seafisheries Res Inst, Palmaille 9, D-22767 Hamburg, Germany.</t>
  </si>
  <si>
    <t>volker.siegel@ish.bfa-fisch.de</t>
  </si>
  <si>
    <t>Kawaguchi, So/N-1795-2017</t>
  </si>
  <si>
    <t>Kawaguchi, So/0000-0002-2042-5095</t>
  </si>
  <si>
    <t>10.1016/j.dsr2.2004.06.013</t>
  </si>
  <si>
    <t>WOS:000225496900004</t>
  </si>
  <si>
    <t>Reid, K; Jessopp, MJ; Barrett, MS; Kawaguchi, S; Siegel, V; Goebel, ME</t>
  </si>
  <si>
    <t>Widening the net: spatio-temporal variability in the krill population structure across the Scotia Sea</t>
  </si>
  <si>
    <t>ANTARCTIC KRILL; ARCTOCEPHALUS-GAZELLA; EUPHAUSIA-SUPERBA; SOUTH</t>
  </si>
  <si>
    <t>Resolving the spatial variability in the population structure of Antarctic krill (Euphausia superba) requires a synoptic sample, as in the design of the CCAMLR 2000 Survey. However, this approach is not appropriate for assessing temporal variability. The size of krill in the diet of Antarctic fur seals (Arctocephalus gazella) has been shown to provide a good representation of the temporal changes in the krill population structure from within their foraging area. At Cape Shirreff, South Shetland Islands, krill in nets had modal size classes of 46-48 mm and 52-54 mm in length and appeared to reflect the presence of larger krill offshore and smaller krill inshore; krill in the diet of fur seals contained both modes, indicating that the foraging area of fur seals integrated the spatial variability in the krill population. At Signy Island, South Orkney Islands, krill in nets and fur seal diets had a modal size class of 52 mm when sampled simultaneously; however, krill in the diet of seals showed a decline in size later in the season with an overall mode of 48 mm. At Bird Island, South Georgia, there was little overlap between net samples, with a modal size class of 30-40 mm, and fur seal diets, with distinct modes of 44 and 54 mm; and there was also much greater spatial variability in the size of krill in these net samples than in those from the other two locations. Extending the comparison of krill size in the diet of seals, to include spatially congruent net samples collected immediately prior to the CCAMLR 2000 Survey, showed almost complete overlap and indicated an even greater spatial variability in the krill population structure at South Georgia. Interactions between the oceanographic transport and enhanced growth rates of krill at South Georgia may combine to produce a higher degree of spatial variability in the krill population compared to other locations and this may limit the use of differences in krill length as an indicator of their provenance. This study underlines the importance of using data from multiple sources when considering large-scale krill population dynamics; information that is crucial to the effective management of the commercial exploitation of krill. (C) 2004 Published by Elsevier Ltd.</t>
  </si>
  <si>
    <t>British Antarctic Survey, NERC, Cambridge CB3 0ET, England; Natl Res Inst Far Seas Fisheries, Shimizu, Shizuoka 4248633, Japan; Bundesforschungsanstalt Fischerei, Inst Seefischerei, D-22767 Hamburg, Germany; SW Fisheries Sci Ctr, US AMLR Program, La Jolla, CA 92038 USA</t>
  </si>
  <si>
    <t>UK Research &amp; Innovation (UKRI); Natural Environment Research Council (NERC); NERC British Antarctic Survey; Japan Fisheries Research &amp; Education Agency (FRA); National Oceanic Atmospheric Admin (NOAA) - USA</t>
  </si>
  <si>
    <t>Reid, K (corresponding author), British Antarctic Survey, NERC, High Cross,Madingley Rd, Cambridge CB3 0ET, England.</t>
  </si>
  <si>
    <t>Jessopp, Mark/AAI-4786-2020; Kawaguchi, So/N-1795-2017</t>
  </si>
  <si>
    <t>Jessopp, Mark/0000-0002-2692-3730; Kawaguchi, So/0000-0002-2042-5095</t>
  </si>
  <si>
    <t>10.1016/j.dsr2.2004.06.014</t>
  </si>
  <si>
    <t>WOS:000225496900005</t>
  </si>
  <si>
    <t>Kasatkina, SM; Goss, C; Emery, JH; Takao, Y; Litvinov, FF; Malyshko, AP; Shnar, VN; Berezhinsky, OA</t>
  </si>
  <si>
    <t>A comparison of net and acoustic estimates of krill density in the Scotia Sea during the CCAMLR 2000 Survey</t>
  </si>
  <si>
    <t>ANTARCTIC KRILL; EUPHAUSIA-SUPERBA; SWARMS</t>
  </si>
  <si>
    <t>A multi-ship, multi-national survey to assess the acoustic biomass of Antarctic krill across the Scotia Sea was undertaken in January and February 2000. In addition, a total of 135 Rectangular Midwater Trawls (RMT8) were undertaken to determine the structure of the krill population and to validate acoustic target detection techniques. This paper reports a comparison of the density estimates derived from net and acoustic sampling for a range of spatial scales; from individual net hauls to regional estimates of krill biomass. The different sources of error and the different characteristics of the density estimates from net and acoustic techniques are also defined. Direct quantitative comparisons of net and acoustic densities are shown to be inappropriate at both the small scale (i.e. individual net tows; the typical net sampling unit for census surveys) and the large scale (i.e. regional surveys). Therefore, a direct comparison of density estimates from net and acoustic surveys is not practicable for retrospective analysis of krill abundance. However, the results of net and acoustic surveys do appear comparable in terms of trends in krill distribution at the large scale. Therefore, the combined use of net and acoustic data can be useful in the analysis of interannual trends in the variability of krill distribution at the regional level. At the local level, data from trawl surveys using comparable nets can be used to examine interannual variability in krill distribution as there has been little change in the methodology used for net surveys over the last 25 years. (C) 2004 Elsevier Ltd. All rights reserved.</t>
  </si>
  <si>
    <t>AtlantNIRO, Kaliningrad 236000, Russia; British Antarctic Survey, NERC, Cambridge CB3 0ET, England; SW Fisheries Sci Ctr, La Jolla, CA 92038 USA; Natl Res Inst Fisheries Engn, Ibaraki 3140421, Japan</t>
  </si>
  <si>
    <t>Research lnstitute of Fisheries &amp; Oceanography; UK Research &amp; Innovation (UKRI); Natural Environment Research Council (NERC); NERC British Antarctic Survey; National Oceanic Atmospheric Admin (NOAA) - USA; Japan Fisheries Research &amp; Education Agency (FRA)</t>
  </si>
  <si>
    <t>sea@atlant.baltnet.ru</t>
  </si>
  <si>
    <t>10.1016/j.dsr2.2004.06.005</t>
  </si>
  <si>
    <t>WOS:000225496900006</t>
  </si>
  <si>
    <t>Brandon, MA; Naganobu, M; Demer, DA; Chernyshkov, P; Trathan, PN; Thorpe, SE; Kameda, T; Berezhinskiy, OA; Hawker, EJ; Grant, S</t>
  </si>
  <si>
    <t>Physical oceanography in the Scotia Sea during the CCAMLR 2000 survey, austral summer 2000</t>
  </si>
  <si>
    <t>ANTARCTIC CIRCUMPOLAR CURRENT; SURFACE TEMPERATURE DATA; SOUTH-GEORGIA; DRAKE-PASSAGE; WEDDELL SEA; POLAR FRONT; WATER MASSES; VARIABILITY; TRANSPORT; ISLAND</t>
  </si>
  <si>
    <t>In January and February 2000, four ships conducted an extensive hydrographic survey of the Scotia Sea as part of the CCAMLR 2000 Survey. There were 169 CTD stations to at least 1000 m depth, making this the largest synoptic dataset since 1981. A hydrographic section at Drake Passage was used to define water masses and ocean fronts. In 2000, the Subantarctic Front and the Polar Front were unusually close, and the entire survey occurred to the south of the Polar Front. The survey area was bisected by the Subantarctic Circumpolar Current Front and the Southern Boundary of the Antarctic Circumpolar Current. In Drake Passage, these fronts were widely spaced. A further two hydrographic sections to the cast of Drake Passage show that the relative location of these fronts changes east of Drake Passage. Horizontal maps across the survey area show that close to Drake Passage, properties are aligned in a southwest to northeast direction. At approximately 35degreesW, properties become orientated in a north-south direction. A map of geopotential anomaly shows the flow field across the survey area and allows identification of oceanic fronts. In months previous to the survey, the giant icebergs A22B and B10A crossed the Scotia Sea and closely followed the geopotential field from the CCAMLR 2000 dataset. The SACCF is not the only important front for transporting biological matter from the Antarctic Peninsula to South Georgia; an interaction between the SBACC and the SACCF is also likely to be important. (C) 2004 Elsevier Ltd. All rights reserved.</t>
  </si>
  <si>
    <t>British Antarctic Survey, NERC, Cambridge CB3 0ET, England; Natl Res Inst Far Sea Fisheries, Shimizu, Shizuoka 4248633, Japan; SW Fisheries Sci Ctr, La Jolla, CA 92038 USA; Atlantic Sci Res Inst Marine Fisheries &amp; Oceanog, AtlantNIRO, Kaliningrad 236000, Russia; Open Univ, Milton Keynes MK7 6AA, Bucks, England</t>
  </si>
  <si>
    <t>UK Research &amp; Innovation (UKRI); Natural Environment Research Council (NERC); NERC British Antarctic Survey; Japan Fisheries Research &amp; Education Agency (FRA); National Oceanic Atmospheric Admin (NOAA) - USA; Research lnstitute of Fisheries &amp; Oceanography; Open University - UK</t>
  </si>
  <si>
    <t>Brandon, MA (corresponding author), British Antarctic Survey, NERC, High Cross,Madingley Rd, Cambridge CB3 0ET, England.</t>
  </si>
  <si>
    <t>m.a.brandon@open.ac.uk</t>
  </si>
  <si>
    <t>, David/ABC-8990-2022; Brandon, Mark A/A-5804-2010</t>
  </si>
  <si>
    <t>, David/0000-0001-5083-8854; Thorpe, Sally/0000-0002-5193-6955; Brandon, Mark/0000-0002-7779-0958</t>
  </si>
  <si>
    <t>10.1016/j.dsr2.2004.06.006</t>
  </si>
  <si>
    <t>WOS:000225496900007</t>
  </si>
  <si>
    <t>Holm-Hansen, O; Kahru, M; Hewes, CD; Kawaguchi, S; Kameda, T; Sushin, VA; Krasovski, I; Priddle, J; Korb, R; Hewitt, RP; Mitchell, BG</t>
  </si>
  <si>
    <t>Temporal and spatial distribution of chlorophyll-a in surface waters of the Scotia Sea as determined by both shipboard measurements and satellite data</t>
  </si>
  <si>
    <t>ANTARCTIC PENINSULA WATERS; SOUTHERN-OCEAN; BIOOPTICAL PROPERTIES; PHYTOPLANKTON; SEAWIFS; PRODUCTIVITY; ALGORITHMS; ATLANTIC</t>
  </si>
  <si>
    <t>Chlorophyll-a (Chl-a) concentrations in surface waters were measured at 137 hydrographic stations occupied by four research vessels participating in the CCAMLR 2000 Survey and the values were compared to estimates from data acquired by the SeaWiFS satellite. The Chl-a concentrations measured on board ship ranged from 0.06 to 14.6 mg m(-3), a range that includes most surface Chl-a concentrations during mid-summer in the Southern Ocean. Owing to persistent cloud cover over much of the Southern Ocean, it was necessary to acquire multi-day composites of satellite data in order to obtain reliable estimates of Chl-a at each of the hydrographic stations. The correlation between the median value for the eight-day composites and the Chl-a concentrations measured on board ship had an R-2 value of 0.82, with the satellite data under-estimating the values obtained on board ship at high Chl-a concentrations and slightly overestimating the shipboard data at Chl-a concentrations of &lt; 0.2 mg m(-3). For Chl-a concentrations of &lt; 1.0 mg m(-3), the ratio of the satellite estimates divided by the shipboard values was 0.89 +/- 0.45 (n = 50). As the mean Chl-a concentration in most pelagic Antarctic waters is close to 0.5 mg m(-3), satellite estimates for Chl-a concentrations in surface waters are thus close to shipboard measurements, and offer the advantage of providing synoptic maps of Chl-a distribution over extensive areas of the Southern Ocean. Satellite Chl-a images for the months preceding (December 1999) and following (February 2000) the CCAMLR 2000 Survey cruises showed that the general pattern of Chl-a concentration in the Scotia Sea and adjoining waters was similar in all three months, but that the phytoplankton biomass was generally lowest in December, reached maximal values in January, and started to decline in February. in contrast, Chl-a concentrations in Drake Passage declined progressively from early December through February. Published by Elsevier Ltd.</t>
  </si>
  <si>
    <t>Univ Calif San Diego, Scripps Inst Oceanog, La Jolla, CA 92093 USA; Natl Res Inst Far Seas Fisheries, Shimizu, Shizuoka 4248633, Japan; Atlantic Sci Res Inst Marine Fisheries &amp; Oceanog, AtlantNIRO, Kaliningrad 236000, Russia; British Antarctic Survey, NERC, Cambridge CB3 0ET, England; Natl Ocean &amp; Atmospher Adm, SW Fisheries Sci Ctr, La Jolla, CA 92038 USA</t>
  </si>
  <si>
    <t>University of California System; University of California San Diego; Scripps Institution of Oceanography; Japan Fisheries Research &amp; Education Agency (FRA); Research lnstitute of Fisheries &amp; Oceanography; UK Research &amp; Innovation (UKRI); Natural Environment Research Council (NERC); NERC British Antarctic Survey; National Oceanic Atmospheric Admin (NOAA) - USA</t>
  </si>
  <si>
    <t>Holm-Hansen, O (corresponding author), Univ Calif San Diego, Scripps Inst Oceanog, La Jolla, CA 92093 USA.</t>
  </si>
  <si>
    <t>oholmhansen@ucsd.edu</t>
  </si>
  <si>
    <t>Mitchell, B. Greg/0000-0002-8550-4333; Kawaguchi, So/0000-0002-2042-5095</t>
  </si>
  <si>
    <t>10.1016/j.dsr2.2004.06.004</t>
  </si>
  <si>
    <t>WOS:000225496900008</t>
  </si>
  <si>
    <t>Holm-Hansen, O; Naganobu, M; Kawaguchi, S; Kameda, T; Krasovski, I; Tchernyshkov, P; Priddle, J; Korb, R; Brandon, M; Demer, D; Hewitt, RP; Kahru, M; Hewes, CD</t>
  </si>
  <si>
    <t>Factors influencing the distribution, biomass, and productivity of phytoplankton in the Scotia Sea and adjoining waters</t>
  </si>
  <si>
    <t>ANTARCTIC CIRCUMPOLAR CURRENT; WESTERN BRANSFIELD STRAIT; SOUTHERN-OCEAN; ELEPHANT-ISLAND; IRON LIMITATION; DIATOM BLOOMS; WEDDELL SEA; ROSS SEA; NUTRIENT; GROWTH</t>
  </si>
  <si>
    <t>During January and February 2000 four research vessels, from Russia, the UK, Japan, and the United States, conducted an oceanographic survey with 137 hydrographic stations within the Scotia Sea and adjoining waters as part of a survey sponsored by the Commission for the Conservation of Antarctic Marine Living Resources (CCAMLR) to estimate the biomass and distribution of Antarctic krill in the Scotia Sea. Chlorophyll-a (Chl-a) measurements showed great variability in phytoplankton biomass within the Scotia Sea, with some areas having among the lowest Chl-a concentrations found in Antarctic waters (&lt;0.1 mg m(-3) in surface waters) while other areas were among the richest with &gt; 10 mg m(-3). This paper describes the distribution and concentration of Chl-a in the upper 100 m of the water column and relates the Chl-a profiles at individual stations to profiles of upper water-column stability, to the depth of the upper mixed layer, and to the mixing of different water masses. The 58 stations with the lowest Chl-a values in surface waters also had low values for integrated Chl-a (33.9 +/- 19.5 mg m(-2)) and a Chl-a maximum at depths of between 70 and 90 m, in contrast to all other stations where deep Chl-a maxima did not occur. The T/S diagrams at many of these stations were indicative of Antarctic Circumpolar Current (ACC) waters. The central Scotia Sea and areas to the west and north of South Georgia had significantly higher integrated Chl-a values (98.1+/-46.0 mg m(-2), n = 57), in addition to five stations with very high Chl-a values (mean of 359+/-270 mg m(-2)). The mean rate of integrated primary production, which was estimated using the Chl-a data and the mean incident solar radiation measured from previous cruises as well as from satellite data, was estimated to be 994 mg carbon m(-2) day(-1). The temperature profiles at these stations suggested that considerable interleaving and mixing of water types had occurred, which was also evident in the T/S diagrams, which indicated mixing of ACC waters with coastal waters originating from Bransfield Strait or the Weddell Sea. There was no significant correlation between integrated Chl-a values and the profiles of upper water column stability or the depth of the upper mixed layer. The spatial variability in phytoplankton biomass within the Scotia Sea is discussed in relation to the hypothesis that low iron concentrations are the major factor controlling phytoplankton biomass in these pelagic Antarctic waters and that concentrations of iron available for phytoplankton uptake are strongly influenced by fronts and the mixing of different water masses. Published by Elsevier Ltd.</t>
  </si>
  <si>
    <t>Kawaguchi, So/N-1795-2017; Brandon, Mark A/A-5804-2010</t>
  </si>
  <si>
    <t>Brandon, Mark/0000-0002-7779-0958; Kawaguchi, So/0000-0002-2042-5095</t>
  </si>
  <si>
    <t>10.1016/j.dsr2.2004.06.015</t>
  </si>
  <si>
    <t>WOS:000225496900009</t>
  </si>
  <si>
    <t>Ward, P; Grant, S; Brandon, M; Siegel, V; Sushin, V; Loeb, V; Griffiths, H</t>
  </si>
  <si>
    <t>Mesozooplankton community structure in the Scotia Sea during the CCAMLR 2000 Survey: January-February 2000</t>
  </si>
  <si>
    <t>OCEANOGRAPHIC STRUCTURE; ZOOPLANKTON COMMUNITY; WEDDELL SEA; MACROZOOPLANKTON COMMUNITY; ATLANTIC SECTOR; AUSTRAL SUMMER; SOUTHERN-OCEAN; VARIABILITY; ICE; BIOMASS</t>
  </si>
  <si>
    <t>An analysis of mesozooplankton community structure in the Scotia Sea was carried out, based on 123 RMT1 double oblique hauls (0-200m) taken during the CCAMLR 2000 Survey. Standardized sample data (log abundance per 1000 m(3)) were grouped into taxonomic categories and subjected to cluster analysis and multi-dimensional scaling. Two ordinations were performed, the first based on a reduced taxonomic dataset (31 categories out of a full 120) obtained by pooling ontogenetic stages within species and by including only those taxa that contributed at least 4% to total abundance at any one station. This disclosed two major station groups, which separated north and south, forming 'warm' and 'cold' water communities respectively, whereas four minor groups were mainly associated with stations around the Antarctic Peninsula and within the Weddell Scotia Confluence. Mean zooplankton abundance (238 000 individuals per 1000 m(3)) within the northerly group G1 was up to 12 times higher than in other groups. The second ordination using all taxonomic categories disclosed an additional intermediate group (G1a), which was geographically consistent with the southern part of the northern group 1 from the previous ordination. However, because of taxonomic similarities between all the major station groups it was concluded that they represented a single community, which differed only in its phenological development and the mass occurrence of patchily distributed organisms such as krill larvae. Testing the relationships of station groups with the position of water masses and frontal boundaries indicated that the Weddell Front was broadly coincident with the boundary of the northern and southern communities over much of its length. However, the presence of stations belonging to group G2, to the north of the Weddell Front, to the west of the Antarctic Peninsula, and around the South Sandwich Islands, was consistent with the distribution of ice-influenced surface water. Low zooplankton abundance and species developmental composition suggested that this 'community' was largely in an over-wintered state. Copepods and euphausiids dominated the mesozooplankton throughout the study area with small copepods (Oithona spp., Ctenocalanus spp. and Metridia spp.) particularly abundant. (C) 2004 Elsevier Ltd. All rights reserved.</t>
  </si>
  <si>
    <t>British Antarctic Survey, NERC, Cambridge CB3 0ET, England; Open Univ, Dept Earth Sci, Milton Keynes MK7 6AA, Bucks, England; Seafisheries Res Inst, D-22767 Hamburg, Germany; AtlantNIRO, Kaliningrad 236000, Russia; Moss Landing Marine Labs, Moss Landing, CA 95039 USA</t>
  </si>
  <si>
    <t>UK Research &amp; Innovation (UKRI); Natural Environment Research Council (NERC); NERC British Antarctic Survey; Open University - UK; Research lnstitute of Fisheries &amp; Oceanography; Moss Landing Marine Laboratories</t>
  </si>
  <si>
    <t>British Antarctic Survey, NERC, High Cross Site,Madingley Rd, Cambridge CB3 0ET, England.</t>
  </si>
  <si>
    <t>pwar@nerc-bas.ac.uk</t>
  </si>
  <si>
    <t>Brandon, Mark A/A-5804-2010; Griffiths, Huw J/D-4234-2009</t>
  </si>
  <si>
    <t>Griffiths, Huw J/0000-0003-1764-223X; Brandon, Mark/0000-0002-7779-0958</t>
  </si>
  <si>
    <t>10.1016/j.dsr2.2004.06.016</t>
  </si>
  <si>
    <t>WOS:000225496900010</t>
  </si>
  <si>
    <t>Kawaguchi, S; Siegel, V; Litvinov, F; Loeb, V; Watkins, J</t>
  </si>
  <si>
    <t>Salp distribution and size composition in the Atlantic sector of the Southern Ocean</t>
  </si>
  <si>
    <t>KRILL EUPHAUSIA-SUPERBA; MARGINAL ICE-ZONE; SHETLAND ISLANDS; ELEPHANT ISLAND; AUSTRAL SUMMER; CARBON FLUX; PHYTOPLANKTON; SEA; VARIABILITY; THALIACEA</t>
  </si>
  <si>
    <t>Salp abundance and length frequency were measured during the large-scale CCAMLR 2000 Survey conducted in the Atlantic Sector of the Southern Ocean in the 1999/2000 season. Results from regional surveys around Elephant Island in 1994/95 and 1996/97 seasons also were examined. During the CCAMLR 2000 Survey, salp abundance was higher in the Antarctic Peninsula and South Sandwich Island areas than in the central Scotia Sea. The probable reason for this pattern is a negative relationship with phytoplankton abundance; the central Scotia Sea having greater phytoplankton concentrations than required for optimal salp filter-feeding performance. Cluster analysis of salp size composition resulted in three cluster groups for each of the three surveys. Clusters comprising large salps occurred in warmer waters in all three surveys. The size composition of the salp populations suggests that the timing of intense asexual reproductive budding was earlier in warmer waters. As surface water temperatures generally decrease from north to south, and increase from spring to summer, the general spatio-temporal pattern of asexual reproduction by budding is likely to proceed from north to south as the summer season progresses. (C) 2004 Elsevier Ltd. All rights reserved.</t>
  </si>
  <si>
    <t>Natl Res Inst Far Seas Fisheries, Shimizu, Shizuoka 4248633, Japan; Seafisheries Res Inst, D-22767 Hamburg, Germany; AtlantNIRO, Kaliningrad 236000, Russia; Moss Landing Marine Labs, Moss Landing, CA 95039 USA; British Antarctic Survey, NERC, Cambridge CB3 0ET, England</t>
  </si>
  <si>
    <t>Japan Fisheries Research &amp; Education Agency (FRA); Research lnstitute of Fisheries &amp; Oceanography; Moss Landing Marine Laboratories; UK Research &amp; Innovation (UKRI); Natural Environment Research Council (NERC); NERC British Antarctic Survey</t>
  </si>
  <si>
    <t>Kawaguchi, S (corresponding author), Australian Antarctic Div, Channel Highway, Kingston, Tas 7050, Australia.</t>
  </si>
  <si>
    <t>so.kawaguchi@aad.gov.au</t>
  </si>
  <si>
    <t>10.1016/j.dsr2.2004.06.017</t>
  </si>
  <si>
    <t>WOS:000225496900011</t>
  </si>
  <si>
    <t>Reid, K; Sims, M; White, RW; Gillon, KW</t>
  </si>
  <si>
    <t>Spatial distribution of predator/prey interactions in the Scotia Sea: implications for measuring predator/fisheries overlap</t>
  </si>
  <si>
    <t>SOUTH-SHETLAND-ISLANDS; ANTARCTIC FUR SEALS; PREY INTERACTIONS; PENGUINS; GEORGIA; KRILL; SEABIRDS; COMPETITION; ECOSYSTEM; SCALES</t>
  </si>
  <si>
    <t>The measurement of spatial overlap between predators and fisheries exploiting a common prey source is dependent upon the measurement scale used; inappropriate scales may produce misleading results. Previous assessments of the level of overlap between predators and fisheries for Antarctic krill (Euphausia superba) in the region of the South Shetland Islands used different measurement scales and arrived at contradictory conclusions. At-sea data from observations of krill predators during the CCAMLR 2000 Survey were used to identify the areas of potential overlap with fisheries in the Scotia Sea and to determine the scale at which such overlap should be measured. The relationship between autocorrelation and sampling distance was used to identify the characteristic scales of the distribution of predators, krill and krill fisheries, and an effort-corrected index of relative abundance as a function of distance from land was used to identify the characteristics of areas of high potential for overlap. Despite distinct differences in foraging ecology, a group of krill-dependent species including chinstrap penguin (Pygoscelis antarctica), (Antarctic) fur seal (Arctocephalus sp. (gazella)) and white-chinned petrel (Procellaria aequinoctialis) showed similar patterns of distribution; the relative abundances were highest at 60-120 km from land and decreased sharply at distances greater than 150 km from land. There were more inter-specific differences in the characteristic scales, which were of the order of 50-100 km. Antarctic krill had a characteristic scale of approximately 200 km and the relationship with distance from land showed a log-linear decline. Krill fisheries operate at a scale of 150 km and occur almost entirely within 100 km of land. The requirement of land for breeding and the biological and oceanographic conditions that produce the high concentrations of krill associated with those land areas produce a system in which the demand for Antarctic krill from fisheries and predators is essentially co-extensive. The areas of greatest potential overlap are within 150-200 km of land and to accommodate the scales of operation of the processes involved the extent of such overlap in these areas should be assessed at scales of 70-100 km. (C) 2004 Published by Elsevier Ltd.</t>
  </si>
  <si>
    <t>British Antarctic Survey, NERC, Cambridge CB3 0ET, England; Jetty Visitor Ctr, Falklands Conservat, Stanley, Falklands Isl, England; Joint Nat Conservat Comm, Peterborough PE1 1JY, England</t>
  </si>
  <si>
    <t>White, Richard W/J-6721-2012</t>
  </si>
  <si>
    <t>10.1016/j.dsr2.2004.06.007</t>
  </si>
  <si>
    <t>WOS:000225496900012</t>
  </si>
  <si>
    <t>Reilly, S; Hedley, S; Borberg, J; Hewitt, R; Thiele, D; Watkins, J; Naganobu, M</t>
  </si>
  <si>
    <t>Biomass and energy transfer to baleen whales in the South Atlantic sector of the Southern Ocean</t>
  </si>
  <si>
    <t>MINKE WHALES; CONSUMPTION; KRILL; FOOD</t>
  </si>
  <si>
    <t>Baleen whales are an important group of predators on Antarctic krill in the Southern Ocean. During the CCAMLR 2000 Survey to estimate the biomass and distribution of Antarctic krill, International Whaling Commission observers carried out a visual line transect survey to estimate the number of baleen whales occurring in the survey area. This paper reviews techniques used to estimate krill consumption by baleen whales and in combination with estimates of whale abundance estimates of krill consumption are generated for the South Atlantic sector of the Southern Ocean. This survey estimates that the present populations of whales feeding in this region are likely to consume approximately 1.6 million tonnes, but possibly up to as much as 2.7 million tonnes of krill within the summer season. Although this only represents 4-6% of the estimated krill biomass in the region (and probably less than this percentage of the total annual krill production), the depleted numbers of baleen whales resulting from past or current whaling activities should be taken into account when setting quotas for the commercial exploitation of krill if there is to be a recovery to pre-exploitation biomass levels of baleen whales. Published by Elsevier Ltd.</t>
  </si>
  <si>
    <t>SW Fisheries Sci Ctr, La Jolla, CA 92037 USA; RUWPA, Math Inst, St Andrews KY16 9SS, Fife, Scotland; Deakin Univ, Warrnambool, Vic 3280, Australia; British Antarctic Survey, NERC, Cambridge CB3 0ET, England; Natl Res Inst Far Seas Fisheries, Shimizu, Shizuoka 424, Japan</t>
  </si>
  <si>
    <t>National Oceanic Atmospheric Admin (NOAA) - USA; University of St Andrews; Deakin University; UK Research &amp; Innovation (UKRI); Natural Environment Research Council (NERC); NERC British Antarctic Survey; Japan Fisheries Research &amp; Education Agency (FRA)</t>
  </si>
  <si>
    <t>Reilly, S (corresponding author), SW Fisheries Sci Ctr, 8604 Jolla Shores Dr, La Jolla, CA 92037 USA.</t>
  </si>
  <si>
    <t>steve.reilly@noaa.gov</t>
  </si>
  <si>
    <t>10.1016/j/dsr2.2004.06.008</t>
  </si>
  <si>
    <t>WOS:000225496900013</t>
  </si>
  <si>
    <t>Hewitt, RP; Kim, S; Naganobu, M; Gutierrez, M; Kang, D; Takao, Y; Quinones, J; Lee, YH; Shin, HC; Kawaguchi, S; Emery, JH; Demer, DA; Loeb, VJ</t>
  </si>
  <si>
    <t>Variation in the biomass density and demography of Antarctic krill in the vicinity of the South Shetland Islands during the 1999/2000 austral summer</t>
  </si>
  <si>
    <t>EUPHAUSIA-SUPERBA; ELEPHANT ISLAND; MARINE PREDATORS; ACOUSTIC SURVEYS; FUR SEALS; RECRUITMENT; RESPONSES; EXTENT</t>
  </si>
  <si>
    <t>Vessels from Japan, Peru, and the USA conducted four sequential surveys designed to estimate the biomass density and demography of Antarctic krill in the vicinity of the South Shetland Islands between late December 1999 and early March 2000. The surveys were conducted during the same austral summer as the CCAMLR 2000 Survey in the Scotia Sea (Watkins et al., Deep-Sea Research, II, this issue [doi: 10.1016/j.dsr2.2004.06.010]), and the data were analyzed in a similar manner. Biomass densities were not significantly different between the surveys and averaged 49 g m(-2). Maps of krill biomass indicate three areas of consistently high density: one near the eastern end of Elephant Island, one mid-way between Elephant Island and King George Island, and one near Cape Shirreff on the north side of Livingston Island. The areas of highest krill density appeared to move closer to the shelf break as the season progressed. This apparent movement was accompanied by a change in the demographic structure of the population, with smaller krill absent and a larger proportion of sexually mature animals present in late summer. Published by Elsevier Ltd.</t>
  </si>
  <si>
    <t>SW Fisheries Sci Ctr, La Jolla, CA 92037 USA; Pukyong Natl Univ, Dept Marine Biol, Buasn 608737, South Korea; Natl Res Inst Far Seas Fisheries, Shimizu, Shizuoka 424, Japan; Peruvian Marine Inst, IMARPE, Callao, Peru; Hanyang Univ, Ocean Acoust Lab, Dept Earth &amp; Marine Sci, Ansan 425791, Kyunngido, South Korea; Natl Res Inst Fisheries Engn, Ibaraki 3140421, Japan; KORDI, Polar Sci Lab, Seoul 425600, South Korea; Moss Landing Marine Labs, Moss Landing, CA 95039 USA</t>
  </si>
  <si>
    <t>National Oceanic Atmospheric Admin (NOAA) - USA; Pukyong National University; Japan Fisheries Research &amp; Education Agency (FRA); Instituto del Mar del Peru; Hanyang University; Japan Fisheries Research &amp; Education Agency (FRA); Korea Institute of Ocean Science &amp; Technology (KIOST); Moss Landing Marine Laboratories</t>
  </si>
  <si>
    <t>SW Fisheries Sci Ctr, 8604 Jolla Shores Dr, La Jolla, CA 92037 USA.</t>
  </si>
  <si>
    <t>Roger.Hewitt@noaa.gov</t>
  </si>
  <si>
    <t>, David/ABC-8990-2022; Kawaguchi, So/N-1795-2017; Lee, Youn-Ho/B-9552-2009; Quinones, Javier/O-7755-2018</t>
  </si>
  <si>
    <t>, David/0000-0001-5083-8854; Quinones, Javier/0000-0002-6193-8022; Kawaguchi, So/0000-0002-2042-5095</t>
  </si>
  <si>
    <t>10.1016/j.dsr2.2004.06.018</t>
  </si>
  <si>
    <t>WOS:000225496900014</t>
  </si>
  <si>
    <t>Murphy, EJ; Thorpe, SE; Watkins, JL; Hewitt, R</t>
  </si>
  <si>
    <t>Modeling the krill transport pathways in the Scotia Sea: spatial and environmental connections generating the seasonal distribution of krill</t>
  </si>
  <si>
    <t>ANTARCTIC KRILL; EUPHAUSIA-SUPERBA; SOUTH-GEORGIA; INTERANNUAL VARIABILITY; POPULATION-DYNAMICS; OCEAN MODEL; ICE; CIRCULATION; ALGORITHM; MIGRATION</t>
  </si>
  <si>
    <t>A coupled physical-biological model analysis was undertaken to examine the seasonal development of the distribution of antarctic krill (Euphausia superba Dana) in the Scotia Sea. The origin and fate of krill observed during the CCAMLR 2000 survey were studied using output from the OCCAM model. Lagrangian particle tracking for the period prior to the survey showed the expected dominance of the west to east flow of material associated with the main direction of the current flow, but there was no simple association of particle transport with any of the fronts of the Antarctic Circumpolar Current. Most of the krill were associated with areas to the south of the Antarctic Circumpolar Current in the Weddell-Scotia Confluence (WSC) and farther east in Weddell Sea-influenced waters. Examining the pathways of krill transport in relation to satellite-derived sea-ice distributions suggests that particles present in the high krill biomass regions in January would have come from areas that were covered by sea-ice during late winter/early spring (September-October). The results of Eulerian grid-based simulations of the development of the biomass distribution after the survey period showed transport of particles around South Georgia, probably in association with the Southern Antarctic Circumpolar Current Front. However, many of the krill encountered in the eastern Scotia Sea would have exited toward the east, passing north of the South Sandwich Islands, probably in association with the Southern Boundary of the Antarctic Circumpolar Current and Weddell Sea waters that penetrate to the north in this area. These krill may return to more southern regions where further spawning is possible in later years. Simulations of particle tracks that included diurnal vertical migration showed that krill behavior could modify the pathways of transport, although the current flows probably dominate the movement of krill in open ocean regions. This study suggests that the summer distribution of krill in the Scotia Sea is connected to the winter sea-ice distribution and probably to the pattern and rate of the spring sea-ice retreat. Many of the krill in the survey region in the summer of 1999/2000 came from under the sea-ice in the eastern Scotia Sea, the southern Scotia Arc, and the northern Weddell Sea. This highlights that the spatial association of the sea-ice with the Weddell-Scotia Confluence and frontal regions of the Antarctic Circumpolar Current during winter and spring will be crucial in determining the summer krill distribution. Variation in the extent and timing of sea-ice retreat, and fluctuations in Weddell-Scotia Confluence and Scotia Sea flows, will change the pathways of transport resulting in large changes in the distribution of the krill during summer. (C) 2004 Elsevier Ltd. All rights reserved.</t>
  </si>
  <si>
    <t>British Antarctic Survey, NERC, Cambridge CB3 0ET, England; NOAA, SW Fisheries, La Jolla, CA USA</t>
  </si>
  <si>
    <t>e.murphy@bas.ac.uk</t>
  </si>
  <si>
    <t>Thorpe, Sally/0000-0002-5193-6955</t>
  </si>
  <si>
    <t>10.1016/j.dsr2.2004.06.019</t>
  </si>
  <si>
    <t>WOS:000225496900016</t>
  </si>
  <si>
    <t>Brandt, A; De Broyer, C; Gooday, AJ; Hilbig, B; Thomson, MRA</t>
  </si>
  <si>
    <t>Introduction to ANDEEP (ANtarctic benthic DEEP-sea biodiversity: colonization history and recent community patterns) - a tribute to Howard L. Sanders</t>
  </si>
  <si>
    <t>SPECIES-DIVERSITY</t>
  </si>
  <si>
    <t>We dedicate the present volume to the late Howard Sanders, who passed away after a long illness on 7 February 2001. When as a young scientist at the Woods Hole Oceanographic Institution he, together with his colleague Bob Hessler and his technical assistant George Hampson, collected and analyzed the first quantitative samples of deep-sea benthos (today one would call them semi-quantitative), he may not have had any idea how instrumental the resulting time-stability hypothesis would prove to be for at least four decades of biological deep-sea research. The image of the deep-sea floor being a lifeless desert or, at best, a desolate place harboring a depauperate fauna was shattered when investigations along a transect between Bermuda and Gay Head, a cliff on the island of Martha's Vineyard off Massachusetts, revealed that while densities decreased with depth, species richness actually increased. Since then, many more samples have been collected, our knowledge, limited as it may still be, has increased dramatically, and many new theories and hypotheses have been developed. Nevertheless, the work and personality of Howard Sanders are still something one feels obligated to measure up to. With ANDEEP I and II, we may not have entered as much of a terra incognita as Sanders and colleagues did 40 years ago, but our excitement was certainly comparable. We sincerely hope Howard would approve if he could hold this volume in his hands.</t>
  </si>
  <si>
    <t>Univ Hamburg, Inst Zool, D-20146 Hamburg, Germany; Univ Hamburg, Zool Museum, D-20146 Hamburg, Germany; Inst Royal Sci Nat Belgique, B-1040 Brussels, Belgium; Southampton Oceanog Ctr, Southampton SO14 3HZ, Hants, England; Ruhr Univ Bochum, Dept Zool, D-44780 Bochum, Germany; Univ Leeds, Sch Earth Sci, Ctr Polymer Sci, Leeds LS2 9JT, W Yorkshire, England</t>
  </si>
  <si>
    <t>University of Hamburg; University of Hamburg; NERC National Oceanography Centre; University of Southampton; Ruhr University Bochum; University of Leeds</t>
  </si>
  <si>
    <t>Brandt, Angelika/C-1630-2018; Gooday, Andrew/ABB-4267-2020; Gooday, Andrew/AAH-8991-2021</t>
  </si>
  <si>
    <t>Gooday, Andrew/0000-0002-5661-7371;</t>
  </si>
  <si>
    <t>14-16</t>
  </si>
  <si>
    <t>10.1016/j.dsr2.2004.08.006</t>
  </si>
  <si>
    <t>881SV</t>
  </si>
  <si>
    <t>WOS:000225890600001</t>
  </si>
  <si>
    <t>Thomson, MRA</t>
  </si>
  <si>
    <t>Geological and palaeoenvironmental history of the Scotia Sea region as a basis for biological interpretation</t>
  </si>
  <si>
    <t>NORTHERN ANTARCTIC PENINSULA; PLIOCENE SIRIUS GROUP; WEST ANTARCTICA; TRANSANTARCTIC MOUNTAINS; SOUTH-AMERICA; DRAKE PASSAGE; MANTLE FLOW; WEDDELL SEA; EVOLUTION; GONDWANALAND</t>
  </si>
  <si>
    <t>There is an extensive literature on the geological development of the Scotia Sea and the Scotia arc, and its relations to the development of the Antarctic Circum-polar Current (ACC) and potential implications for Antarctic glaciation. However, most of the relevant papers have been written from a tectonic or geophysical perspective, with no consideration of the biological implications of the momentous changes involved. This review is an attempt to summarise aspects of the geographical, oceanographical and climate changes that are likely to have had biological consequences for the marine faunas of the Magellan-Antarctic region. There remain many uncertainties over the timing of events and the paucity of information on the palaeogeographical history of the fragments of the Scotia arc. Thus, whilst there is a growing body of evidence to suggest that the first Antarctic ice sheets, the opening of Drake Passage and the development of the ACC occurred within just a few million years of each other, there is not yet enough precision to be sure of the possible interrelationships, if any. Furthermore, an exposed rock record that is very limited in both stratigraphical and geographical extent leaves many uncertainties concerning the distribution of fossil animals in space and time. Despite the difficulties and uncertainties, however, much can be done with the existing data by taking a truly multidisciplinary approach, firstly to reassess possible interrelationships between physical and biological knowledge of the area, and secondly to direct future research in the region. (C) 2004 Elsevier Ltd. All rights reserved.</t>
  </si>
  <si>
    <t>Univ Leeds, Sch Earth Sci, Leeds, W Yorkshire, England</t>
  </si>
  <si>
    <t>University of Leeds</t>
  </si>
  <si>
    <t>Thomson, MRA (corresponding author), Univ Leeds, Sch Earth Sci, Leeds, W Yorkshire, England.</t>
  </si>
  <si>
    <t>m.thomson@stone-house.demon.co.uk</t>
  </si>
  <si>
    <t>10.1016/j.dsr2.2004.06.021</t>
  </si>
  <si>
    <t>WOS:000225890600002</t>
  </si>
  <si>
    <t>Diaz, RJ</t>
  </si>
  <si>
    <t>Biological and physical processes structuring deep-sea surface sediments in the Scotia and Weddell Seas, Antarctica</t>
  </si>
  <si>
    <t>NORTH-CAROLINA; IN-SITU; BENTHIC COMMUNITY; CAPE-HATTERAS; SLOPE; FLOOR</t>
  </si>
  <si>
    <t>Five deep-sea transects were sampled in the Scotia Sea and Weddell Sea from the Drake Passage to the South Sandwich Islands, Antarctica, with depths ranging from 767 to 6333 m. A combination of sediment surface and sediment profile imaging was used to characterize the physical and biological processes structuring the benthic boundary layer and surface sediments from the sediment-water interface (SWI) to as much as 17 cm below the SWI. The factors structuring surface sediments were related to distance from Antarctic landmasses, which are the main source of sediment, and deposition of water-column or sea-ice primary productivity. Stations near the continental shelf and slope tended to have coarse (granule to cobble) sediments derived from melting sea-ice. Input of fine sediments was estimated to be low at these stations because many of the coarse sediment grains appeared to be manganese coated. At the deepest stations in the Ona Basin, South Shetland Trench, and South Sandwich Trench, sediment appeared to be primarily hernipelagite silt-clay but were varved with as many as four distinct color laminations. These layers varied in thickness fom 0.6 to 10.6 cm and may have been related to turbidite flows. While geology and physical processes that deliver sediment to the bottom were the primary factors dictating substratum characteristics, biological processes were, to varying degrees, important in structuring the SWI and sediment fabric. Biological processes, primarily in the form of bioturbation, were most prominent at fine-grained stations but were also obvious even on rock substratum on top of the Shackleton Fracture Zone. There were gradients between the degree of bioturbation and type of biogenic structure present with depth. At depths &lt; 2000 m biogenic structures were more diverse and dominated (&gt; 75% of the sediment bioturbated) the structure of surficial sediments at 5 of 13 stations. At depths &gt;2000 m, biological processes were overall less diverse but dominated at 8 of 11 stations. (C) 2004 Published by Elsevier Ltd.</t>
  </si>
  <si>
    <t>Virginia Inst Marine Sci, Coll William &amp; Mary, Gloucester Point, VA 23062 USA</t>
  </si>
  <si>
    <t>William &amp; Mary; Virginia Institute of Marine Science</t>
  </si>
  <si>
    <t>Diaz, RJ (corresponding author), Virginia Inst Marine Sci, Coll William &amp; Mary, Route 1208 Greate Rd,POB 1346, Gloucester Point, VA 23062 USA.</t>
  </si>
  <si>
    <t>diaz@vims.edu</t>
  </si>
  <si>
    <t>10.1016/j.dsr2.2004.06.022</t>
  </si>
  <si>
    <t>WOS:000225890600004</t>
  </si>
  <si>
    <t>Pearse, JS; Lockhart, SJ</t>
  </si>
  <si>
    <t>Reproduction in cold water: paradigm changes in the 20th century and a role for cidaroid sea urchins</t>
  </si>
  <si>
    <t>STAR ODONTASTER-VALIDUS; SCALLOP ADAMUSSIUM-COLBECKI; ANTARCTIC BENTHIC INVERTEBRATES; LARVAL DEVELOPMENT; STERECHINUS-NEUMAYERI; MCMURDO SOUND; PHOTOPERIODIC REGULATION; MARINE-INVERTEBRATES; DEVELOPMENTAL MODE; ABATUS-SHACKLETONI</t>
  </si>
  <si>
    <t>At the beginning of the 20th century, powerful ideas about the biology of marine animals in cold waters (polar and deep sea) were in early stages of development. (1) General similarities between some Arctic and Antarctic species suggested a past or present continuity between the poles, possibly through tropical submergence. (2) The discovery of subantarctic species brooding their offspring suggested that supposedly harsh polar conditions select against species with pelagic, dispersive larvae. (3) The linkage between seasonal temperature changes and seasonal reproduction suggested that where temperatures were constant, as in polar and deep seas, reproduction would be aseasonal or continuous throughout the year. (4) Recognition of the phenomenon of metabolic temperature adaptation suggested that animals living in cold water should exhibit rates of physiological processes similar to rates in warmer environments. Observations and experiments throughout the first half of the 20th century generally supported and reinforced these ideas. During the second half of the 20th century, however, the generality of these paradigms broke down. Detailed analyses of fuller data indicated that Arctic, Antarctic, and deep-sea faunas are not the same and probably have different phylogenies reflecting different vicariant histories. Moreover, many species in these habitats have pelagic larvae, they generally spawn seasonally, and their physiological processes (respiration, gametogenesis, development, feeding, growth) are slow, showing little evidence of the expected temperature adaptation. Nevertheless, entering the 21st century, we are challenged by important exceptions that do support many of the earlier ideas. Bipolarity in some groups does indicate relict distributions, and other groups show equatorial submergence. Moreover, major species-rich clades in the Antarctic (unlike the Arctic) do brood their young. Most species with pelagic larvae produce non-feeding (lecithotrophic) larvae rather than feeding (planktotrophic) larvae, and these, along with brooding species, generally do reproduce throughout the year. Yet brooding is almost certainly not an adaptation to low temperatures and low larval food supply, as supposed earlier; instead, the species-rich clades of brooders probably reflect enhanced speciation under unique conditions in the Antarctic. In addition, despite recent evidence of constraints on metabolic flexibility, low metabolic rates may themselves be adaptations to Antarctic conditions. Just as a growing body of exceptions to the early 20th century paradigms led to their breakdown, these persisting exceptions to current ideas demand that our existing paradigms be re-examined for further insight into the biology of marine animals in cold water. Cidaroid echinoids, in particular, appear to support some of the earlier ideas. The group consists of one or possibly two clades that make up over 80% of the species of regular sea urchins in the Antarctic; several species extend into the deep sea. One putative species is nearly bipolar, extending from the Antarctic shelf into the deep sea and then north in the eastern Pacific to Alaska. All the species appear to brood embryos, but development in the brood might be facultative. Reproduction seems to be aseasonal, albeit infrequent. Growth rates are probably very slow and longevity very long. Current work begun with ANDEEP is directed at resolving the phylogenetic history of this group to better understand unusual reproductive and other features in cold-water marine animals. (C) 2004 Elsevier Ltd. All rights reserved.</t>
  </si>
  <si>
    <t>Univ Calif Santa Cruz, Dept Ocean Sci, Santa Cruz, CA 95064 USA; Calif Acad Sci, Dept Invertebrate Zool &amp; Geol, San Francisco, CA 94118 USA</t>
  </si>
  <si>
    <t>University of California System; University of California Santa Cruz; California Academy of Sciences</t>
  </si>
  <si>
    <t>Pearse, JS (corresponding author), Univ Calif Santa Cruz, Dept Ocean Sci, Santa Cruz, CA 95064 USA.</t>
  </si>
  <si>
    <t>pearse@biology.ucsc.edu</t>
  </si>
  <si>
    <t>10.1016/j.dsr2.2004.06.023</t>
  </si>
  <si>
    <t>WOS:000225890600005</t>
  </si>
  <si>
    <t>Malyutina, M</t>
  </si>
  <si>
    <t>Russian deep-sea investigations of Antarctic fauna</t>
  </si>
  <si>
    <t>VERTICAL-DISTRIBUTION; BOTTOM FAUNA; ABYSSAL; DIVERSITY; URCHINS; OCEAN</t>
  </si>
  <si>
    <t>A review of the Russian deep-sea investigation of Antarctic fauna beginning from the first scientific collection of Soviet whaling fleet expeditions 1946-1952 is presented. The paper deals with the following expeditions, their main tasks and results. These expeditions include three cruises of research vessel (R.V.) Ob in the Indian sector of the Antarctic and in the Southern Pacific (1955-1958); 11 cruises of the R.V. Akademik Kurchatov in the southern Atlantic (November-December 1971); 16 cruises of the R.V. Dmitriy Mendeleev in the Australia-New Zealand area and adjacent water of the Antarctic (December 1975-March 1976); 43 cruises of the R.V. Akademik Kurchatov in the southern Atlantic (October 1985-February 1986); and 43 cruises of the R.V. Dmitriy Mendeleev in the Atlantic sector of the South Ocean (January-May 1989). A list of the main publications on the benthic taxa collected during these expeditions with data of their distribution is presented. The results of Russian explorations of the Antarctic fauna are presented as theoretical conclusions in the following topics: (1) Vertical zonation in the distribution of the Antarctic deep-sea fauna; (2) Biogeographic division of the abyssal and hadal zones; (3) Origin of the Antarctic deep-sea fauna; (4) Distributional pathways of the Antarctic abyssal fauna through the World Ocean. (C) 2004 Elsevier Ltd. All rights reserved.</t>
  </si>
  <si>
    <t>FEB RAS, Inst Marine Biol, Vladivostok 690041, Russia</t>
  </si>
  <si>
    <t>Russian Academy of Sciences; National Scientific Center of Marine Biology, Far East Branch of the Russian Academy of Sciences</t>
  </si>
  <si>
    <t>FEB RAS, Inst Marine Biol, Palchevskogo 17, Vladivostok 690041, Russia.</t>
  </si>
  <si>
    <t>inmarbio@mail.primorye.ru</t>
  </si>
  <si>
    <t>Malyutina, Marina/A-6839-2014; Malyutina, Marina/JAC-6506-2023</t>
  </si>
  <si>
    <t>Malyutina, Marina/0000-0003-2161-3917</t>
  </si>
  <si>
    <t>10.1016/j.dsr2.2004.07.012</t>
  </si>
  <si>
    <t>WOS:000225890600006</t>
  </si>
  <si>
    <t>Cornelius, N; Gooday, AJ</t>
  </si>
  <si>
    <t>'Live' (stained) deep-sea benthic foraminiferans in the western Weddell Sea: trends in abundance, diversity and taxonomic composition along a depth transect</t>
  </si>
  <si>
    <t>POLAR FRONT REGION; NE ATLANTIC; ENVIRONMENTAL-INFLUENCES; BENTHONIC FORAMINIFERA; EXPLORERS COVE; STANDING STOCK; SOUTHERN-OCEAN; ECOLOGY; PHYTODETRITUS; BATHYAL</t>
  </si>
  <si>
    <t>'Entire' live foraminiferal assemblages (i.e. including soft-walled species) were analysed using replicate subcores (3.45 cm(2) surface area, 0-1 cm layer; &gt; 63 mum fraction) from multiple corer samples collected along a transect (1100-5000 m water depth) of the continental slope and rise and adjacent abyssal plain to the east of the Antarctic Peninsula. Foraminiferans usually accounted for 61-83% of all meiofaunal organisms. Mean densities were highest (576 individuals (indiv.)10 cm(-2)) at 2100 m water depth and declined to 240 indiv. 10 cm(-2) at 5000 m, although there was considerable variability between replicates at some stations (e.g., 304, 333, 1090 indiv. 10 cm(-2) at 2100 m). Foraminiferan and metazoan meiofaunal densities were broadly coherent across the depth range sampled. A total of 158 live foraminiferal species was recognized. Assemblages were most diverse on the lower slope, with species numbers peaking at 3100 m and the Fisher a diversity index at 3100-4100 m. Monothalamous taxa increased in relative abundance from 8% at 1100 m to 33% at 4975 m, and there was a corresponding decrease in the proportion of calcareous taxa from 65% to 16%. On the continental slope (1100-3100 m), the most abundant hard-walled species were Epistominella exigua, Adercotryma glomeratum, Alabaminella weddellensis and Stetsonia hovarthi. In the deeper samples (4100-5000 m), A. glomeratum became the dominant hard-walled species. Important soft-walled species included Tinogullmia riemanni and Bathyallogromia weddellensis. In some samples from 1100 and 2100 m, more than a third of the live assemblage was hidden within phytodetrital aggregates; species such as E. exigua, A. weddellensis and T riemanni were concentrated within these microhabitats. Many of the Weddell Sea species are typical bathyal and abyssal forms well known from the North Atlantic and elsewhere. The phytodetrital assemblages are strikingly similar to those reported from abyssal sites in the North Atlantic. Our observations suggest that there are close faunal links between the deep-water faunas of the Weddell Sea and those of other oceanic regions, perhaps mediated by thermohaline circulation. (C) 2004 Elsevier Ltd. All rights reserved.</t>
  </si>
  <si>
    <t>Southampton Oceanog Ctr, George Deacon Div, DEEPSEAS Benth Biol Grp, Southampton SO14 3ZH, Hants, England</t>
  </si>
  <si>
    <t>NERC National Oceanography Centre; University of Southampton</t>
  </si>
  <si>
    <t>Southampton Oceanog Ctr, George Deacon Div, DEEPSEAS Benth Biol Grp, Empress Dock,European Way, Southampton SO14 3ZH, Hants, England.</t>
  </si>
  <si>
    <t>ncor@soc.soton.ac.uk</t>
  </si>
  <si>
    <t>Gooday, Andrew/ABB-4267-2020; Gooday, Andrew/AAH-8991-2021</t>
  </si>
  <si>
    <t>10.1016/j.dsr2.2004.06.024</t>
  </si>
  <si>
    <t>WOS:000225890600007</t>
  </si>
  <si>
    <t>Gutzmann, E; Arbizu, PM; Rose, A; Veit-Köhler, G</t>
  </si>
  <si>
    <t>Meiofauna communities along an abyssal depth gradient in the Drake Passage</t>
  </si>
  <si>
    <t>DEEP-SEA MEIOBENTHOS; METAZOAN MEIOBENTHOS; NORTHEAST ATLANTIC; BENTHIC ACTIVITY; STANDING STOCKS; ORGANIC-MATTER; SIZE-STRUCTURE; NE ATLANTIC; ANTARCTICA; ABUNDANCE</t>
  </si>
  <si>
    <t>Meiofauna standing stocks and community structure are reported for the first time for abyssal soft-sediment samples in Antarctic waters. At seven stations within a depth range of 2274-5194 m a total of 128 sediment cores were retrieved with a multiple corer (MUC) on board of the RN. Polarstern during the ANDEEP-1 cruise (ANT XIX/3). The metazoan meiofauna (defined by a lower size limit of 40 mum) was identified and counted, and one core per station was preserved for CPE, C/N, TOM and grain size analyses. Meiofauna densities are in the range of 2731 Ind./10 cm(2) at 2290 m depth and 75 Ind./10 cm(2) at 3597 m depth, with nematodes being the dominant group at all stations. Nematodes account for 84-94% followed by copepods with 2-8% of the total meiofauna. Other frequent taxa found at each station are kinorhynchs, loriciferans, tantulocarids, ostracods and tardigrades. There is a general tendency of decreasing abundances of metazoan meiofauna with increasing depth, but not all higher level taxa displayed this pattern. In addition, a tendency of decreasing higher taxon density with increasing depth was observed. Standing stocks are higher than the average found at similar depths in other oceans. (C) 2004 Elsevier Ltd. All rights reserved.</t>
  </si>
  <si>
    <t>DZMB Deutsch Zentrum Marine Biodiversitatsforsch, Forschungsinst Senckenberg, D-26382 Wilhelmshaven, Germany</t>
  </si>
  <si>
    <t>Senckenberg Gesellschaft fur Naturforschung (SGN)</t>
  </si>
  <si>
    <t>DZMB Deutsch Zentrum Marine Biodiversitatsforsch, Forschungsinst Senckenberg, Sudstrand 44, D-26382 Wilhelmshaven, Germany.</t>
  </si>
  <si>
    <t>pmartinez@senckenberg.de</t>
  </si>
  <si>
    <t>Martinez-Arbizu, Pedro/0000-0002-0891-1154</t>
  </si>
  <si>
    <t>10.1016/j.dsr2.2004.06.026</t>
  </si>
  <si>
    <t>WOS:000225890600009</t>
  </si>
  <si>
    <t>Veit-Köhler, G</t>
  </si>
  <si>
    <t>Kliopsyllus andeep sp n (Copepoda: Harpacticoida) from the Antarctic deep sea -: A copepod closely related to certain shallow-water species</t>
  </si>
  <si>
    <t>MEIOFAUNA COMMUNITIES; DIVERSITY MAINTENANCE; PATTERNS</t>
  </si>
  <si>
    <t>The international scientific deep-sea cruise ANDEEP-2 (ANT XIX/4) to the Scotia Arc and the northern Weddell Sea in 2002 revealed a new species of the family Paramesochridae (Copepoda: Harpacticoida). Kliopsyllus andeep sp. n. can be distinguished from its congeners by characteristics such as a two-segmented endopod on the fourth leg and an additional seta on the endopod of the third leg. The most striking feature is its strong, flexed, chitinous thorns on the telson. Only three species in the family have such appendages, all of them interstitial, shallow-water species. Because the new species lacks the strong abdominal muscle observed by Kunz in Kliopsyllus furcavaricatus Kunz, 1974, it cannot spread its furcal rami using the thorns on the telson as antagonists the way the shallow-water species does. The furcalrami spreading system, which is an adaptation to interstitial living, for K andeep sp. n. is irrelevant, because the species has been collected from muddy sediments. Therefore, the abdominal muscle might have been lost during the species' evolution. (C) 2004 Elsevier Ltd. All rights reserved.</t>
  </si>
  <si>
    <t>DZMB German Ctr Marine Biodivers Res, Senckenberg Res Inst, D-26382 Wilhelmshaven, Germany</t>
  </si>
  <si>
    <t>Veit-Köhler, G (corresponding author), DZMB German Ctr Marine Biodivers Res, Senckenberg Res Inst, Sudstrand 44, D-26382 Wilhelmshaven, Germany.</t>
  </si>
  <si>
    <t>gveit-koehler@senckenberg.de</t>
  </si>
  <si>
    <t>10.1016/j.dsr2.2004.06.027</t>
  </si>
  <si>
    <t>WOS:000225890600010</t>
  </si>
  <si>
    <t>Vermeeren, H; Vanreusel, A; Vanhove, S</t>
  </si>
  <si>
    <t>Species distribution within the free-living marine nematode genus Dichromadora in the Weddell Sea and adjacent areas</t>
  </si>
  <si>
    <t>MEIOFAUNA COMMUNITIES; CONTINENTAL-SLOPE; SOUTHERN-OCEAN; INDIAN-OCEAN; NE ATLANTIC; ANTARCTICA; MEIOBENTHOS; SHELF; BIODIVERSITY; VARIABILITY</t>
  </si>
  <si>
    <t>Studies of Antarctic, free-living, marine nematodes are mostly restricted to genus level. In the current study, the genus Dichromadora (Kreis, H.A., 1929. Capita Zoologica 2(7), 1-98) is analysed to species level. Dichromadora is one of the genera that are frequently present along the continental margin of the eastern Weddell Sea. Samples were retrieved from the 1000-2000 m depth line in the eastern Weddell Sea (Halley Bay, Vestkapp and Kapp Norvegia), South Sandwich Trench and the Drake Passage. Eight species are distinguished within the genus Dichromadora of which seven are new to science. Out of these seven species, five are described taxonomically: Dichromadora weddellensis sp. n., Dichromadora southernis sp. n., Dichromadora polarsternis sp. n., Dichromadora parva sp. n., and Dichromadora polaris sp. n. The two other species (D. spec A, D. spec B) receive, as to the scarcety of available specimens, no scientific name. The distribution of the Dichromadora species from Antarctica are discussed in the context of deep-sea (1000-2000 m) observations in Arctic, Atlantic, Pacific and Indian oceans. (C) 2004 Elsevier Ltd. All rights reserved.</t>
  </si>
  <si>
    <t>State Univ Ghent, Marine Biol Sect, Dept Biol, B-9000 Ghent, Belgium</t>
  </si>
  <si>
    <t>Ghent University</t>
  </si>
  <si>
    <t>Vanhove, S (corresponding author), State Univ Ghent, Marine Biol Sect, Dept Biol, Krijgslaan 201-S8, B-9000 Ghent, Belgium.</t>
  </si>
  <si>
    <t>sandra.vanhove@ugent.be</t>
  </si>
  <si>
    <t>10.1016/j.dsr2.2004.06.028</t>
  </si>
  <si>
    <t>WOS:000225890600011</t>
  </si>
  <si>
    <t>Vanhove, S; Vermeeren, H; Vanreusel, A</t>
  </si>
  <si>
    <t>Meiofauna towards the South Sandwich Trench (750-6300m), focus on nematodes</t>
  </si>
  <si>
    <t>DEEP-SEA MEIOBENTHOS; CENTRAL ARCTIC-OCEAN; PLAIN NE ATLANTIC; SIZE-STRUCTURE; METAZOAN MEIOBENTHOS; COMMUNITY STRUCTURE; BIOMASS SPECTRA; KAPP-NORVEGIA; WEDDELL SEA; ASSEMBLAGES</t>
  </si>
  <si>
    <t>Meiobenthos (excluding foraminifers) from the South Sandwich Trench was studied in sediment samples collected by multiple core (MUC) or multiple grab (MG). Sampling stations were chosen along a depth transect that covered the continental slope and abyssal plain towards the trench (water depths from 747 to 6319 m). Total abundance and biomass of meiobenthos ranged between 354 and 1675ind. 10 cm(-2), and between 16.3 and 80.8 mugC 10 cm(-2), respectively. Standing stock decreased, though not linearly, with increasing water depth. Biomasses and densities were situated above the world ocean's regression line of meiobenthic stocks against water depth, and higher on the trench floor (354-930ind 10 cm(-2), 18.7 mugC 10 cm(-2) at 6300 m) compared to most other oceans' trench regions. This observation confirms earlier results from the Antarctic continental margins that Antarctic meiofauna is characterised by dense populations in which nematodes predominate over the other taxonomic groups (87-98% of total abundance). Taxonomic investigations at genus level revealed that Chromadoridae, Monhysteridae, Desmodoridae, Desmoscolecidae, Xyalidae and Cyatholaimidae were dominant. Most of the nematode genera (in total 94) occurred in all depths, with only a slight distinction between the shallow (Daptonema, Dichromadora and Molgolaimus preferentially at 750-2300 m) and deep (with Tricoma preferentially from 3000 m on). The shallowcommunities were comparable to those from the Weddell Sea continental margin; the sediments at 2300-6300 m harboured in big lines similar compositions as abyssal and trench communities worldwide. Two main morph clusters were distinguished among the South Sandwich Trench nematodes: plump nematodes, with average L: W = 9, belonging to the taxonomic similar selective deposit-feeding genera of the Desmoscolecida, and comparable slender nematodes (L : W = 26; biomass size class -4 to -2) such as Monhystera, Acantholaimus, Daptonema, Dichromadora, Molgolaimus, Microlaimus and some species from Paracanthonchus, mixed among mainly selective and epistratum feeding modes. They formed the bulk of the trench community. The results did not fit well with the general decrease in standing stock with increasing water depth and distance from the continental shelf. Similarly, nematode size (length from 124 to 2991 mum, biomass from 0.023 to 0.042 mug dwt) did not show clear bathymetric trends. The lack of the usual deep-sea trends of structural characteristics of meiofauna in general (density, total biomass, taxon composition) and functional attributes of nematodes (morphometrics, biomass, trophic guild structure, and maturity index) is explained by the particularly complexity of the sedimentary environment of the South Sandwich Trench, which was the result of physical processes (turbidites), bioturbation activity by invertebrate taxa and food supply along the depth transect. (C) 2004 Elsevier Ltd. All rights reserved.</t>
  </si>
  <si>
    <t>Univ Ghent, Marine Biol Sect, Dept Biol, B-9000 Ghent, Belgium</t>
  </si>
  <si>
    <t>Univ Ghent, Marine Biol Sect, Dept Biol, Krijgslaan 281-S8, B-9000 Ghent, Belgium.</t>
  </si>
  <si>
    <t>Sandra.Vanhove@Ugent.be</t>
  </si>
  <si>
    <t>10.1016/j.dsr2.2004.06.029</t>
  </si>
  <si>
    <t>WOS:000225890600012</t>
  </si>
  <si>
    <t>Gage, JD</t>
  </si>
  <si>
    <t>Diversity in deep-sea benthic macrofauna: the importance of local ecology, the larger scale, history and the Antarctic</t>
  </si>
  <si>
    <t>SPECIES-DIVERSITY; COMMUNITY STRUCTURE; CONTINENTAL-SLOPE; ROCKALL-TROUGH; RICHNESS; PATTERNS; ATLANTIC; PACIFIC; ORIGIN; FAUNA</t>
  </si>
  <si>
    <t>High diversity in macrobenthos in the deep sea still lacks satisfactory explanation, even if this richness may not be exceptional compared to that in coastal soft sediments. Explanations have assumed a highly ecologically interactive, saturated local community with co-existence controlled by either niche heterogeneity, or spatio-temporal heterogeneity embodying disturbance. All have failed to provide convincing support. Local/regional scale biodiversity relationships support the idea of local richness in macrobenthos being predominantly dependent on the larger, rather local scale. Local-scale ecological interactions seem unlikely to have overriding importance in co-existence of species in the deep sea, even for relatively abundant, 'core' species with wide distributions. Variety in observed larger-scale pattern and the strong inter-regional pattern, particularly in the poorly known southern hemisphere, seem to have a pluralistic causation. These include regional-scale barriers and extinctions (e.g., Arctic), and ongoing adaptive zone re-colonisation (e.g., Mediterranean), along with other historical constraints on speciation and migration of species caused by changes in ocean and ocean-basin geometry. At the global scale lack of knowledge of the Antarctic deep sea, for example, blocks coherent understanding of latitudinal species diversity gradients. We need to reconcile emerging understanding of large-scale historical variability in the deep-sea environment-with massive extinctions among microfossil indicators as recently as the Pliocene-to results from cladistic studies indicating ancient lineages, such as asellote isopods, that have evolved entirely within the deep sea. The degree to which the great age, diversity, and high degree of endemism in Antarctic shelf benthos, might have enriched biodiversity in the adjacent deep seas basins remains unclear. Basin confluence with the Atlantic, Indian and Pacific Oceans may have encouraged northwards dispersion of species from and into the deep Antarctic basins so that any regional identity is superficial. Interpretation of the Antarctic deep sea as a diversity pump for global deep-sea biodiversity may simply reflect re-colonisation, via basin confluence, of northern hemisphere areas impoverished by the consequences of rapid environmental change during the Quaternary. (C) 2004 Elsevier Ltd. All rights reserved.</t>
  </si>
  <si>
    <t>Scottish Assoc Marien Sci, Dunstaffnage Marine Lab, Oban PA37 1QA, Argyll, Scotland</t>
  </si>
  <si>
    <t>Scottish Assoc Marien Sci, Dunstaffnage Marine Lab, POB 3, Oban PA37 1QA, Argyll, Scotland.</t>
  </si>
  <si>
    <t>jdg@sams.ac.uk</t>
  </si>
  <si>
    <t>10.1016/j.dsr2.2004.07.013</t>
  </si>
  <si>
    <t>WOS:000225890600013</t>
  </si>
  <si>
    <t>Berge, J; Vader, W</t>
  </si>
  <si>
    <t>Two new Antarctic stegocephalid (Amphipoda: Stegocephalidae: Stegocephalinae) species, with implications for the phylogeny and classification of the two genera Pseudo and Schellenbergia</t>
  </si>
  <si>
    <t>CRUSTACEA; REVISION</t>
  </si>
  <si>
    <t>Descriptions and figures of two new species of the genus Pseudo Berge &amp; Vader, 2001 (Stegocephalidae: Stegocephalinae) are presented, but the two species are not given formal scientific names due to lack of material (both are only known by a single specimen each). However, the two new species have a significant impact on the classification and proposed phylogeny of the subfamily, as the two genera Pseudo Berge &amp; Vader, 2001 and Schellenbergia Berge &amp; Vader, 2001 now have to be considered synonymous. Pseudo is selected as the senior synonym. A discussion of the relationships among the genera of the subfamily Stegocephalinae is provided. (C) 2004 Elsevier Ltd. All rights reserved.</t>
  </si>
  <si>
    <t>UNIS, Dept Biol, N-9171 Longyearbyen, Norway; Univ Tromso, Dept Zool, Tromso Museum, N-9037 Tromso, Norway</t>
  </si>
  <si>
    <t>University Centre Svalbard (UNIS); UiT The Arctic University of Tromso</t>
  </si>
  <si>
    <t>UNIS, Dept Biol, POB 156, N-9171 Longyearbyen, Norway.</t>
  </si>
  <si>
    <t>jorgen.berge@unis.no; wim@tmu.uit.no</t>
  </si>
  <si>
    <t>Berge, Jørgen/B-8749-2008</t>
  </si>
  <si>
    <t>Berge, Jørgen/0000-0003-0900-5679</t>
  </si>
  <si>
    <t>10.1016/j.dsr2.2004.06.030</t>
  </si>
  <si>
    <t>WOS:000225890600014</t>
  </si>
  <si>
    <t>Berge, J; Vader, W; Lockhart, S</t>
  </si>
  <si>
    <t>A survey of amphipod associates of sea urchins, with description of new species in the genera Lepidepecreella (Lysianassoidea: lepidepecreellid group) and Notopoma (Photoidea: Ischyroceridae) from Antarctic cidarids</t>
  </si>
  <si>
    <t>The known associations between amphipods and echinoids are listed, separated into five different categories depending upon the nature of the associations. The new species Lepidepecreella andeep, found attached around the mouth of the cidarid sea urchin Aporocidaris antarctica, is described, as well as the new species Notopoma cidaridis. The tubes of the latter were found attached to the spines of the cidarid sea urchin Rhynchocidaris triplopora. These cases represent the first associations reported between amphipods and echinoids in the Antarctic. A key to both genera is provided. (C) 2004 Elsevier Ltd. All rights reserved.</t>
  </si>
  <si>
    <t>UNIS, Dept Biol, N-9171 Longyearbyen, Norway; Univ Tromso, Dept Zool, Tromso Museum, N-9037 Tromso, Norway; Univ Calif Santa Cruz, Dept Ocean Sci, Santa Cruz, CA 95064 USA</t>
  </si>
  <si>
    <t>University Centre Svalbard (UNIS); UiT The Arctic University of Tromso; University of California System; University of California Santa Cruz</t>
  </si>
  <si>
    <t>jorgen.berge@unis.no; wim@tmu.uit.no; slockhart@calacademy.org</t>
  </si>
  <si>
    <t>10.1016/j.dsr2.2004.06.031</t>
  </si>
  <si>
    <t>WOS:000225890600015</t>
  </si>
  <si>
    <t>De Broyer, C; Nyssen, F; Dauby, P</t>
  </si>
  <si>
    <t>The crustacean scavenger guild in Antarctic shelf, bathyal and abyssal communities</t>
  </si>
  <si>
    <t>ROSS ICE SHELF; MCMURDO SOUND; FUNCTIONAL-MORPHOLOGY; FEEDING RATE; MEAL SIZE; FOOD-WEB; SEA; AMPHIPODS; ORCHOMENE; ACANTHONOTOZOMATIDAE</t>
  </si>
  <si>
    <t>Peracarid crustaceans form a significant part of the macrobenthic community that is responsible for scavenging on large food falls onto the sea floor. Although several studies are available about scavengers from tropical and temperate seas, very little information has been published about such species living in Antarctic waters, particularly at greater depths. The present paper is based on a collection of 31 baited trap sets deployed in the Weddell Sea, Scotia Sea, and off the South Shetland Islands, and presents results on the geographical and bathymetric distribution of the different taxa and on the eco-functional role of scavengers. Some 68,000 peracarid crustaceans from 62 species were collected. About 98% of individuals belonged to the amphipod superfamily Lysianassoidea, and 2% to the isopod family Cirolanidae. Of these species, 31, including 26 lysianassoids (1400 individuals), were collected deeper than 1000 m. High species richness was discerned for the eastern Weddell Sea shelf compared with other Antarctic areas. The Antarctic slope also seems to be richer in species than other areas investigated in the world, while in the abyss, scavenger species richness appears to be lower in Antarctica. A richness gradient was thus observed from the shelf to the deep. For amphipods, a number of species extend their distribution from the shelf to the slope and only one to the abyssal zone. Amphipod species showed degrees of adaptation to necrophagy. The functional adaptations of the mandible and the storage function of the gut are discussed. Feeding experiments conducted on lysianassoid species collected at great depths and maintained in aquaria showed a mean feeding rate of about 1.4-4.1% dry body weightday(-1), which is consistent with data obtained from other species. (C) 2004 Elsevier Ltd. All rights reserved.</t>
  </si>
  <si>
    <t>Inst Royal Sci Nat Belgique, B-1000 Brussels, Belgium; Univ Liege, MARE Ctr Oceanol, B-4000 Liege, Belgium</t>
  </si>
  <si>
    <t>University of Liege</t>
  </si>
  <si>
    <t>Inst Royal Sci Nat Belgique, Rue Vautier 29, B-1000 Brussels, Belgium.</t>
  </si>
  <si>
    <t>claude.debroyer@naturalsciences.be</t>
  </si>
  <si>
    <t>10.1016/j.dsr2.2004.06.032</t>
  </si>
  <si>
    <t>WOS:000225890600016</t>
  </si>
  <si>
    <t>Brandt, A; Brökeland, W; Brix, S; Malyutina, M</t>
  </si>
  <si>
    <t>Diversity of Southern Ocean deep-sea Isopoda (Crustacea, Malacostraca) -: a comparison with shelf data</t>
  </si>
  <si>
    <t>PERACARIDA CRUSTACEA; COMMUNITY STRUCTURE; EPIBENTHIC-SLEDGE; BRANSFIELD STRAIT; SPECIES-DIVERSITY; WEDDELL SEA; EVOLUTION; PATTERNS; FAUNA; BIOGEOGRAPHY</t>
  </si>
  <si>
    <t>Samples were taken during the expeditions ANDEEP I &amp; II (ANT XIX/3-4) (ANtarctic benthic DEEP-sea biodiversity, colonisation history and recent community patterns) with RV Polarstern for the analysis of the Southern Ocean (SO) deep-sea isopod biodiversity in the Drake Passage, off Elephant Island, along the South Shetland Islands, in the northwestern Weddell Sea, and at the South Sandwich Islands. In total 5525 specimens of Isopoda were sampled and 317 species were discriminated. Isopoda were the most abundant peracarid taxon, with 38% of all Peracarida, 98% of the Isopoda belonging to the suborder Asellota. Species richness was highest in the northwestern Weddell Sea; diversity and evenness were relatively high at all stations. The Munnopsididae were the most dominant isopod family, with 61% of the specimens, 118 species divided among 28 genera; the Haploniscidae comprised 15% of all isopods with 36 species from four genera, followed by the Ischnomesidae with 7% and 30 species from five genera. The families Desmosomatidae, Macrostylidae and Nannoniscidae comprised 10% of the isopod specimens. The Desmosomatidae were the second most diverse family, with 48 species from 12 genera. Species of the suborder Valvifera or the family Serolidae were much rarer in the SO deep-sea than on the shelf. 141 of isopod species (46% of the total number) were rare, occurring only at one of the 21 epibenthic-sledge stations. A cluster analysis showed no clear relation between isopod communities and geographic area. Depth was the most important factor for differences in isopod community patterns. The species accumulation curve shows that the SO deep sea was not sampled representatively during ANDEEP I &amp; 11 and further sampling is necessary. The SO deep-sea differs in faunal composition from the shelf. (C) 2004 Elsevier Ltd. All rights reserved.</t>
  </si>
  <si>
    <t>Univ Hamburg, Zool Museum, D-20146 Hamburg, Germany; Russian Acad Sci, Far Eastern Branch, Inst Marine Biol, Vladivostok 690041, Russia</t>
  </si>
  <si>
    <t>University of Hamburg; Russian Academy of Sciences; National Scientific Center of Marine Biology, Far East Branch of the Russian Academy of Sciences</t>
  </si>
  <si>
    <t>Univ Hamburg, Zool Museum, Martin Luther King Pl 3, D-20146 Hamburg, Germany.</t>
  </si>
  <si>
    <t>Malyutina, Marina/JAC-6506-2023; Malyutina, Marina/A-6839-2014</t>
  </si>
  <si>
    <t>10.1016/j.dsr2.2004.06.033</t>
  </si>
  <si>
    <t>WOS:000225890600017</t>
  </si>
  <si>
    <t>Blake, JA; Narayanaswamy, BE</t>
  </si>
  <si>
    <t>Benthic infaunal communities across the Weddell Sea Basin and South Sandwich Slope, Antarctica</t>
  </si>
  <si>
    <t>DIVERSITY</t>
  </si>
  <si>
    <t>The present study represents the first quantitative investigation of deep-sea benthic infauna in Antarctica. Box cores and multicores were used to collect sediment from 12 stations across the slope and abyssal basin of the Weddell Sea and the slope off the South Sandwich Islands, including sites in the South Sandwich Trench (6300 m). The multicore was a more efficient sampler than the box core. Nine phyla of invertebrates were found, dominated by annelids (67%), crustaceans (20%); other phyla (13%). A total of 117 taxa were identified to the species level: 72 were polychaetes; 45 were crustaceans. Many taxa are new to science. Highest densities were at the 1000 in depth on the western slope of the Weddell Sea (260 individuals per 0.1 m(-2)) and at ca. 2200 m on the South Sandwich Slope (132 individuals per 0. 1 m(-2)); lowest densities were in the central Weddell Sea Basin (39 individuals per 0.1 m(-2)). Species richness and rarefaction analysis suggest that the fauna is undersampled. The 117 species identified in this study were represented by only 237 specimens, indicating that species were being added at a rate of one species for every two specimens collected. Rarefaction curves do not begin to reach an asymptote supporting high estimates of diversity. Some species appear to be limited to distinct zones in upper and middle slope depths, other species extend from the slope to the abyssal basin, and at least two species appear to be restricted to the abyssal basin. In general, the densities of infauna on the slopes surrounding the Weddell Sea Basin have lower densities than well studied areas off North America. However, abyssal populations in Antarctica appear to have denser infaunal populations than those from off New England and the North Pacific Gyre. Productive surface waters of the Weddell Sea and subsequent sinking of phytoplankton to the seabed are probable reasons for the higher benthic productivity in Antarctic abyssal sediments. Similarity analyses were not informative because so few species were collected. Two stations in the Weddell Abyssal Basin were the only ones to exhibit a high level of similarity due to two shared polychaetes. Data on reproductive status of some polychaetes suggest that species limited to abyssal depths are reproducing there. Other species with broader depth ranges may be receiving recruits from slope depths. The results suggest that the deep-water infauna in Antarctica is largely endemic, but has some components that occur along other continental margins and adjacent abyssal basins. (C) 2004 Elsevier Ltd. All rights reserved.</t>
  </si>
  <si>
    <t>ENSR, Marine &amp; Coastal Ctr, Woods Hole, MA 02543 USA; Scottish Assoc Marine Sci, Dunstaffnage Marine Res Lab, Oban PA37 1QA, Argyll, Scotland</t>
  </si>
  <si>
    <t>UHI Millennium Institute</t>
  </si>
  <si>
    <t>Blake, JA (corresponding author), ENSR, Marine &amp; Coastal Ctr, 89 Water St, Woods Hole, MA 02543 USA.</t>
  </si>
  <si>
    <t>jblake@ensr.com</t>
  </si>
  <si>
    <t>Narayanaswamy, Bhavani/0000-0002-5810-9127</t>
  </si>
  <si>
    <t>10.1016/j.dsr2.2004.07.014</t>
  </si>
  <si>
    <t>WOS:000225890600020</t>
  </si>
  <si>
    <t>Linse, K</t>
  </si>
  <si>
    <t>Scotia Arc deep-water bivalves: composition, distribution and relationship to the Antarctic shelf fauna</t>
  </si>
  <si>
    <t>HYDROTHERMAL VENT COMMUNITIES; SOUTH-SHETLAND ISLANDS; KING GEORGE ISLAND; SPECIES-DIVERSITY; LATERNULA ELLIPTICA; SEA MACROFAUNA; ATLANTIC; MOLLUSCA; GROWTH; METABOLISM</t>
  </si>
  <si>
    <t>Agassiz trawl, epibenthic sledge and large box core samples were made in the Scotia and northern Weddell Seas during the 2002 ANDEEP expeditions with R.V. Polarstern at 21 locations (774-6348 in depth). The deep-water bivalve fauna sampled was species rich; in total 40 species of bivalves belonging to 17 families were found. At least seven of these species are new to science. Per location species richness varied from 5 to 15 species. Kelliella sirenkoi was the most common and abundant species, occurring at 17 locations (1121-6348 m), followed by Genaxius sp. 1 occurring at 12 locations. The epibenthic sledge hauls were characterised by low abundances, varying from 1 to 68 individuals 1000 m(-2) in depths greater than 1000 in. In comparison with the shelf fauna of the Scotia Arc, the deep-water bivalve community showed similar species richness. This indicates that there is no diversity cline with depth in Antarctic bivalves, but it does provide evidence for underestimated species richness in deep water because of lack of sampling. (C) 2004 Elsevier Ltd. All rights reserved.</t>
  </si>
  <si>
    <t>British Antarctic Survey, Nat Environm Res Council, Cambridge CB3 0ET, England</t>
  </si>
  <si>
    <t>kl@bas.ac.uk</t>
  </si>
  <si>
    <t>Linse, Katrin/0000-0003-3477-3047</t>
  </si>
  <si>
    <t>10.1016/j.dsr2.2004.07.016</t>
  </si>
  <si>
    <t>WOS:000225890600022</t>
  </si>
  <si>
    <t>Berkman, PA; Cattaneo-Vietti, R; Chiantore, M; Howard-Williams, C</t>
  </si>
  <si>
    <t>Polar emergence and the influence of increased sea-ice extent on the Cenozoic biogeography of pectinid molluscs in Antarctic coastal areas</t>
  </si>
  <si>
    <t>SCALLOP ADAMUSSIUM-COLBECKI; TERRA-NOVA BAY; ROSS SEA; MCMURDO SOUND; LATERNULA-ELLIPTICA; BENTHIC DIVERSITY; WESTERN ATLANTIC; MASS EXTINCTION; SOUTHERN-OCEAN; WRIGHT VALLEY</t>
  </si>
  <si>
    <t>From the Paleocene to the Pliocene, Chlamys-like genera of scallops (pectinid bivalve molluscs) inhabited coastal areas around the Antarctic continent. Today, all of the Chlamys-like genera are extinct around Antarctica and restricted to lower latitude habitats along the surrounding continents. The only remaining scallop in the high Antarctic zone is the large (greater than 108 mm in height), endemic, thin-shelled Adamussium colbecki. Adamussium has a circumpolar distribution with its highest abundances (greater than 50 m(-2) and 2 kg m(-2)) in Antarctic coastal areas, in contrast to the offshore habitats where its ancestors had predominated since the Oligocene. Shell morphology and substrate data indicate that the Chlamys-like faunas were largely exposed to high-energy conditions associated with open water in the coastal zone, while the Adamussium faunas have been associated with low-energy hydrodynamic conditions. Modern and mid-Holocene distributions in the Antarctic coastal zone further indicate that Adamussium is largely restricted to protected embayments and habitats with extensive sea-ice coverage. In addition, a decadal mark-and-recapture experiment demonstrates that Adamussium has extremely slow growth and a century-scale lifespan, which complement the life-history traits that are considered to be characteristic of species inhabiting predictable and constant environments in the deep sea. Stabilization of the water column by increased sea-ice extent-together with stenothermal conditions, prolonged darkness and limited primary production-would have enhanced the habitat similarities between polar coastal environments and the deep-sea after the Plio-Pleistocene climate threshold. Subsequently, the deep Antarctic continental shelf would have facilitated faunal shifts between deep-sea and coastal habitats as with the polar emergence of the Adamussium fauna. Such biogeographic interchanges across high-latitude continental shelves since the end of the Cenozoic would have contributed significantly to the latitudinal diversity gradients that have been noted from both deep-sea and shallow-water marine faunas. (C) 2004 Elsevier Ltd. All rights reserved.</t>
  </si>
  <si>
    <t>Univ Calif Santa Barbara, Bren Sch Environm Sci &amp; Management, Santa Barbara, CA 93106 USA; Univ Genoa, DIPTERIS, I-16132 Genoa, Italy; Natl Inst Water &amp; Atmospher Res, Christchurch, New Zealand</t>
  </si>
  <si>
    <t>University of California System; University of California Santa Barbara; University of Genoa; National Institute of Water &amp; Atmospheric Research (NIWA) - New Zealand</t>
  </si>
  <si>
    <t>Univ Calif Santa Barbara, Bren Sch Environm Sci &amp; Management, Santa Barbara, CA 93106 USA.</t>
  </si>
  <si>
    <t>berkman@bren.ucsb.edu</t>
  </si>
  <si>
    <t>Chiantore, Mariachiara/C-7070-2017</t>
  </si>
  <si>
    <t>Chiantore, Mariachiara/0000-0002-5862-1470; Howard-Williams, Clive/0000-0002-8323-6806</t>
  </si>
  <si>
    <t>10.1016/j.dsr2.2004.07.017</t>
  </si>
  <si>
    <t>WOS:000225890600023</t>
  </si>
  <si>
    <t>Janussen, D; Tabachnick, KR; Tendal, OS</t>
  </si>
  <si>
    <t>Deep-sea Hexactinellida (Porifera) of the Weddell Sea</t>
  </si>
  <si>
    <t>SPONGES; ANTARCTICA</t>
  </si>
  <si>
    <t>New Hexactinellida from the deep Weddel Sea are described. This moderately diverse hexactinellid fauna includes 14 species belonging to 12 genera, of which five species and one subgenus are new to science: Periphragella antarctica n. sp., Holascus pseudostellatus n. sp., Caulophacus (Caulophacus) discohexactinus n. sp., C (Caulodiscus) brandti n. sp., C (Oxydiscus) weddelli n. sp., and C (Oxydiscus) n. subgen. So far, 20 hexactinellid species have been reported from the deep Weddell Sea, 15 are known from the northern part and 10 only from here, while 10 came from the southern area, and five of these only from there. However, this apparent high endemism of Antarctic hexactinellid sponges is most likely the result of severe undersampling of the deep-sea fauna. We find no reason to believe that a division between an oceanic and a more continental group of species exists. The current poor database indicates that a substantial part of the deep hexactinellid fauna of the Weddell Sea is shared with other deep-sea regions, but it does not indicate a special biogeographic relationship with any other ocean. (C) 2004 Elsevier Ltd. All rights reserved.</t>
  </si>
  <si>
    <t>Forsch Inst, D-60325 Frankfurt, Germany; Nat Museum Senckenberg, D-60325 Frankfurt, Germany; Russian Acad Sci, Inst Oceanol, RU-117218 Moscow, Russia; Univ Copenhagen, Zool Museum, DK-2100 Copenhagen, Denmark</t>
  </si>
  <si>
    <t>Senckenberg Gesellschaft fur Naturforschung (SGN); Russian Academy of Sciences; University of Copenhagen</t>
  </si>
  <si>
    <t>Janussen, D (corresponding author), Forsch Inst, Senckenberganlage 25, D-60325 Frankfurt, Germany.</t>
  </si>
  <si>
    <t>dorte.janssen@senckenberg.de</t>
  </si>
  <si>
    <t>Tabachnick, Konstantin/ABI-1399-2020</t>
  </si>
  <si>
    <t>10.1016/j.dsr2.2004.07.018</t>
  </si>
  <si>
    <t>WOS:000225890600024</t>
  </si>
  <si>
    <t>Allcock, AL; Collins, MA; Piatkowski, U; Vecchione, M</t>
  </si>
  <si>
    <t>Thaumeledone and other deep water octopodids from the Southern Ocean</t>
  </si>
  <si>
    <t>GEORGIA</t>
  </si>
  <si>
    <t>Recent trawling in the Southern Ocean has yielded an unusual and relatively large collection of deep-sea octopods, comprising four species in two genera. Several deep-sea genera, which are inadequately characterised, have been reported previously from the Southern Ocean. Within this paper, all the relevant historical type material has been examined and a full revision has been undertaken. Species previously considered to be representative of the genus Bentheledone have either been moved to Thaumeledone or are considered nomen dubium. A revised diagnosis of Thaumeledone is provided together with redescriptions of its Southern Ocean species as well as a description of a new species. A new genus has been erected to accommodate the remainder of the new specimens. (C) 2004 Elsevier Ltd. All rights reserved.</t>
  </si>
  <si>
    <t>Queens Univ Belfast, Sch Biol &amp; Biochem, Marine Syst Res Grp, Belfast BT9 7BL, Antrim, North Ireland; British Antarctic Survey, NERC, Cambridge CB3 0ET, England; Forsch Bereich Marine Okol, IFM, GEOMAR, Leibniz Inst Meereswissensch, D-24105 Kiel, Germany; NMFS, Systemat Lab, Washington, DC 20560 USA</t>
  </si>
  <si>
    <t>Queens University Belfast; UK Research &amp; Innovation (UKRI); Natural Environment Research Council (NERC); NERC British Antarctic Survey; Helmholtz Association; GEOMAR Helmholtz Center for Ocean Research Kiel; National Oceanic Atmospheric Admin (NOAA) - USA</t>
  </si>
  <si>
    <t>Queens Univ Belfast, Sch Biol &amp; Biochem, Marine Syst Res Grp, 97 Lisburn Rd, Belfast BT9 7BL, Antrim, North Ireland.</t>
  </si>
  <si>
    <t>l.allcock@qub.ac.uk; macol@bas.ac.uk; upiatkowski@ifm.geomar.de; vecchiom@vims.edu</t>
  </si>
  <si>
    <t>Allcock, Louise/A-7359-2012; Collins, Martin A/J-8560-2017; , Martin/ABE-6728-2020; Piatkowski, Uwe/G-4161-2011</t>
  </si>
  <si>
    <t>Allcock, Louise/0000-0002-4806-0040; , Martin/0000-0001-7132-8650; Piatkowski, Uwe/0000-0003-1558-5817</t>
  </si>
  <si>
    <t>10.1016/j.dsr2.2004.07.019</t>
  </si>
  <si>
    <t>WOS:000225890600025</t>
  </si>
  <si>
    <t>Mooi, R; Constable, H; Lockhart, S; Pearse, J</t>
  </si>
  <si>
    <t>Echinothurioid phylogeny and the phylogenetic significance of Kamptosoma (Echinoidea: Echinodermata)</t>
  </si>
  <si>
    <t>The Echinothurioida, is an unusual group of regular sea urchins that are characterized by soft, flexible tests and in some cases, hoof-shaped spines used for locomotion across soft, deep-sea sediments. As far as is known, all species are armed with venom-bearing spines that have been known to cause serious injury in humans. There are 50 species of echinothurioids arranged in 11 extant genera. Their fossil record is very poor, being limited to two additional fossil taxa (one of which is only tentatively considered an echinothurioid), two assigned to extant taxa, and three of more dubious affinity. With very few exceptions, only disjointed plates are preserved-and those very rarely. Today, echinothurioids are found around the globe from as far north as the Arctic Circle and as far south as Antarctica, with a bathymetric distribution ranging from inshore on coral reefs to depths of almost 5000 m. The majority of species are characteristic of the deep sea, and consequently little is known about these urchins. Many are known only from type and associated material. Their fragile tests, deep benthic habitat, and rarity make it difficult to develop a complete picture of their morphology, and as we demonstrate, breakage of the test can lead to misinterpretations of plate architecture in some taxa. The sole Antarctic species, Kamptosoma asterias, is usually considered an echinothurioid, but its unusual morphology has made its position difficult to ascertain. In addition, previous genus-level phylogenies do not test the monophyly of the genera, and some studies even suggest that the echinothurioids themselves do not constitute a monophyletic group. This study focuses on finding a species level phylogeny of the echinothurioids in order to perform these tests, and to place the enigmatic Kamptosoma in a phylogenetic context that determines whether it is indeed an echinothurioid, and if so, to which clade it is most closely related. The present analysis surveys ambulacral morphology of all echinothurioids, seeking homologies that will enhance our understanding of the diversity of plate architecture in the clade. We confirm that echinothurioids are monophyletic and basal to most other extant echinoid groups, and that Kamptosoma is a relatively crownward echinothurioid, albeit a strange one. The largest genus, Araeosoma, is monophyletic, but at least one prominent genus (Sperosoma) is not monophyletic. The resulting phylogeny also helps address questions concerning biogeographic and bathymetric distributions. (C) 2004 Elsevier Ltd. All rights reserved.</t>
  </si>
  <si>
    <t>Calif Acad Sci, Dept Invertebrate Zool &amp; Geol, San Francisco, CA 94118 USA; San Francisco State Univ, Dept Biol, San Francisco, CA 94132 USA; Univ Calif Santa Cruz, Inst Marine Sci, Joseph M Long Marine Lab, Santa Cruz, CA 95060 USA</t>
  </si>
  <si>
    <t>California Academy of Sciences; California State University System; San Francisco State University; University of California System; University of California Santa Cruz</t>
  </si>
  <si>
    <t>Calif Acad Sci, Dept Invertebrate Zool &amp; Geol, Golden Gate Pk, San Francisco, CA 94118 USA.</t>
  </si>
  <si>
    <t>rmooi@calacademy.org</t>
  </si>
  <si>
    <t>Mooi, Rich/0000-0003-1533-8488</t>
  </si>
  <si>
    <t>10.1016/j.dsr2.2004.07.020</t>
  </si>
  <si>
    <t>WOS:000225890600026</t>
  </si>
  <si>
    <t>Klinck, JM; Hofmann, EE; Beardsley, RC; Salihoglu, B; Howard, S</t>
  </si>
  <si>
    <t>Water-mass properties and circulation on the west Antarctic Peninsula Continental Shelf in Austral Fall and Winter 2001</t>
  </si>
  <si>
    <t>VARIABILITY</t>
  </si>
  <si>
    <t>Hydrographic measurements made during the US Southern Ocean Global Ocean Ecosystem Dynamics cruises, which took place from April to June and July to September 2001, provide a description of changes in water-mass distributions and circulation patterns in the Marguerite Bay region of the west Antarctic Peninsula continental shelf that result from seasonal variability and offshore forcing by the southern boundary of the Antarctic Circumpolar Current (ACC). The primary seasonal change in water-mass properties is the reduction in Antarctic Surface Water and replacement by a thick Winter Water layer. The primary effect of the ACC is to pump warm (&gt; 1.5degreesC), salty (34.65-34.7), and nutrient-rich Circumpolar Deep Water (CDW) onto the continental shelf below 200m at specific sites that correspond to bathymetric features, such as Marguerite Trough. The CDW intruded onto the continental shelf, moved across shelf, and entered Marguerite Bay. This flow pattern was observed during both cruises, suggesting that onshelf intrusions of CDW are a regular occurrence on this shelf. The number of CDW intrusions observed suggests that 4-6 events can occur in a year. Regions where CDW intrusions occur are characterized by surface waters that are above freezing in winter. Diffusive heat fluxes based on estimated diffusivities are insufficient for the observed rate of temperature decay of CDW intrusions. Localized, bathymetrically controlled vertical mixing is suggested as the primary heat transfer mechanism. The hydrographic and Acoustic Doppler Current Profiler measurements show a southwesterly flowing coastal current along Adelaide Island that enters the north side of Marguerite Bay and exits around Alexander Island. This current, which may result from seasonal, coastal buoyancy forcing, was present in fall and winter, but was better developed in fall. This current may be part of a larger cyclonic gyre that overlies the northern part of the area surveyed during the two cruises. (C) 2004 Elsevier Ltd. All rights reserved.</t>
  </si>
  <si>
    <t>Old Dominion Univ, Ctr Coastal Phys Oceanog, Norfolk, VA 23529 USA; Woods Hole Oceanog Inst, Woods Hole, MA 02543 USA; Earth &amp; Space Res, Seattle, WA 98102 USA</t>
  </si>
  <si>
    <t>Old Dominion University; Woods Hole Oceanographic Institution</t>
  </si>
  <si>
    <t>Old Dominion Univ, Ctr Coastal Phys Oceanog, Crittenton Hall, Norfolk, VA 23529 USA.</t>
  </si>
  <si>
    <t>klinck@ccpo.odu.edu</t>
  </si>
  <si>
    <t>Salihoglu, Baris/D-1376-2010</t>
  </si>
  <si>
    <t>Salihoglu, Baris/0000-0002-7510-7713; Howard, Susan/0000-0002-9183-0178; Klinck, John/0000-0003-4312-5201</t>
  </si>
  <si>
    <t>17-19</t>
  </si>
  <si>
    <t>10.1016/j.dsr2.2004.08.001</t>
  </si>
  <si>
    <t>883VZ</t>
  </si>
  <si>
    <t>WOS:000226045100002</t>
  </si>
  <si>
    <t>Beardsley, RC; Limeburner, R; Owens, WB</t>
  </si>
  <si>
    <t>Drifter measurements of surface currents near Marguerite Bay on the western Antarctic Peninsula shelf during austral summer and fall, 2001 and 2002</t>
  </si>
  <si>
    <t>We deployed 24 satellite-tracked surface drifters near Marguerite Bay on the western Antarctic Peninsula shelf during March-May 2001 and February-April 2002. The WOCE-style drifters featured holey sock drogues centered at 15 m and were located about 20 times per day by Service ARGOS. Analyses of the drifter tracks show a coastal current that flows toward the southwest along the west coast of Adelaide Island and into Marguerite Bay near the southern tip of Adelaide Island, then flows clockwise around the Bay near the coast, and finally exits the Bay near Alexander Island. This coastal current flowed along the eastern boundary of Marguerite Bay in 2001, but across the central part of the Bay in 2002 due to the early presence of sea ice in the southern half of the Bay. The outflow from the Bay continued along the coast of Alexander Island toward the southwest in 2001, but was directed northwestward across the shelf in 2002 due to the sea ice coverage to the south. A mean drifter current speed of about 10 cm s(-1) was observed in the coastal current with a maximum speed of about 20 cm s(-1) during periods of strong wind stress. An intermittent northeastward current was observed near the shelf break. The drifter tracks also show that intermittent near-inertial currents are common in Marguerite Bay and over the adjacent shelf during ice-free conditions. These counterclockwise oscillations had periods near the local inertial period (roughly 13.0 h) and speeds of 5-20 cm s(-1) with a tendency for smaller amplitudes within Marguerite Bay. (C) 2004 Elsevier Ltd. All rights reserved.</t>
  </si>
  <si>
    <t>Woods Hole Oceanog Inst, Dept Phys Oceanog, Woods Hole, MA 02543 USA</t>
  </si>
  <si>
    <t>Woods Hole Oceanog Inst, Dept Phys Oceanog, Woods Hole, MA 02543 USA.</t>
  </si>
  <si>
    <t>rbeardsley@whoi.edu</t>
  </si>
  <si>
    <t>10.1016/j.dsr2.2004.07.031</t>
  </si>
  <si>
    <t>WOS:000226045100003</t>
  </si>
  <si>
    <t>Howard, SL; Hyatt, J; Padman, L</t>
  </si>
  <si>
    <t>Mixing in the pycnocline over the western Antarctic Peninsula shelf during Southern Ocean GLOBEC</t>
  </si>
  <si>
    <t>NORTHWESTERN WEDDELL SEA; CONTINENTAL-SHELF; INTERNAL WAVES; BOUNDARY-LAYER; ICE; TIDES; PARAMETERIZATION; THERMOCLINE; FLUXES; STAIRCASES</t>
  </si>
  <si>
    <t>The Southern Ocean Global Ecosystem Dynamics program studied the continental shelf region in the vicinity of Marguerite Bay, on the western side of the Antarctic Peninsula, to determine the factors that contribute to Antarctic krill survival over winter. Subsurface intrusions of upper circumpolar deep water (UCDW) onto the shelf provide much of the nutrient flux into the region. Here we describe the small-scale processes that contribute to upward diapycnal fluxes of heat, salt, and nutrients from the UCDW to the surface-mixed layer. The study makes use of conductivity-temperature-depth and vessel-mounted acoustic Doppler current profiler data collected during three research cruises between April and September 2001. Near-inertial baroclinic waves generated by wind stress provide most of the shear across the sharp pycnocline at the base of the mixed layer. The mean vertical diffusivity associated with shear instability is estimated at less than or equal to 1 x 10(-5) m(2) s(-1), corresponding to a heat flux into the base of the mixed layer of &lt; 2 W m(-2). A previous suggestion that double-diffusive convection (DDC) provides significant upward heat fluxes (of order 10 W m(-2)) in a nearby region is not supported by our analyses of the present data set, which indicates almost no contribution to diapyncal fluxes from DDC. (C) 2004 Elsevier Ltd. All rights reserved.</t>
  </si>
  <si>
    <t>Earth &amp; Space Res, Seattle, WA 98102 USA; Woods Hole Oceanog Inst, Dept Phys Oceanog, MIT WHOI Joint Program Oceanog, Woods Hole, MA 02543 USA</t>
  </si>
  <si>
    <t>Massachusetts Institute of Technology (MIT); Woods Hole Oceanographic Institution</t>
  </si>
  <si>
    <t>Howard, SL (corresponding author), Earth &amp; Space Res, 1910 Fairview Ave E,Suite 210, Seattle, WA 98102 USA.</t>
  </si>
  <si>
    <t>howard@esr.org</t>
  </si>
  <si>
    <t>Howard, Susan/0000-0002-9183-0178; Padman, Laurence/0000-0003-2010-642X</t>
  </si>
  <si>
    <t>10.1016/j.dsr2.2004.08.002</t>
  </si>
  <si>
    <t>WOS:000226045100004</t>
  </si>
  <si>
    <t>Serebrennikova, YM; Fanning, KA</t>
  </si>
  <si>
    <t>Nutrients in the Southern Ocean GLOBEC region: variations, water circulation, and cycling</t>
  </si>
  <si>
    <t>PHYTOPLANKTON COMMUNITY STRUCTURE; WESTERN ANTARCTIC PENINSULA; MARGINAL ICE-ZONE; ROSS SEA; CONTINENTAL-SHELF; PRIMARY PRODUCTIVITY; NITROGEN UPTAKE; AMMONIUM; VARIABILITY; DISTRIBUTIONS</t>
  </si>
  <si>
    <t>As part of the US Southern Ocean Global Ecosystem Dynamics (SO GLOBEC) study on the West Antarctic Peninsula (WAP) continental shelf, four surveys were conducted along a grid of close-spaced stations lying within an area composed of Marguerite Bay (MB) and the adjacent continental margin. The surveys occurred in the autumn and winter of both 2001 and 2002. A detailed repetitive plan of the SO GLOBEC surveys permitted the delineation of the important features of nutrient processes. Horizontal intrusions of Upper Circumpolar Deep Water onto the WAP continental shelf do not appear to produce fluxes of nitrate and phosphate onto the shelf but appear to lead to a dilution of the silica inventory on the shelf. High silica concentrations (&gt; 115 muM) observed in the near-bottom waters on the shelf were most likely generated locally through dissolution of opal in sediments. Nutrient deficits and net community production (NCP) were calculated by the integration of decreases in nutrient concentrations in the mixed-layer below corresponding values in the underlying remnant Winter Water layer. Waters in MB and other coastal areas were strongly depleted in nutrients-deficits of total inorganic nitrogen (TIN = NO3- + NO2- + NH4+) and silica were &gt; 0.6 mol m(-2) and &gt; 2.5 mol m(-2) , respectively-and enriched in ammonium stocks (&gt; 0.25 mol m(-2)) relative to other parts of the grid, especially in the autumn of 2001. Autumn NCP values calculated from TIN deficits in MB equaled or exceeded autumnal NCP values from the Joint Global Ocean Flux Study Ross Sea study in 1997. Observed DeltaN/DeltaP and DeltaSi/DeltaN removal ratios were 12.4 +/- 1.6 and 3.9 +/- 1.2, respectively, in 2001; and 11.1 +/- 1.3 and 4.1 +/- 1.1, respectively, in 2002. These results strongly suggest the dominance of diatoms in the study region. Co-location of maxima in ammonium stocks with the areas of the highest TIN and silica deficits indicated a spatial coupling between primary and heterotrophic production in both years. This co-location highlights the finding that temporal trends in ammonium were usually the opposite of trends in the other nutrients. (C) 2004 Elsevier Ltd. All rights reserved.</t>
  </si>
  <si>
    <t>Univ S Florida, Coll Marine Sci, St Petersburg, FL 33701 USA</t>
  </si>
  <si>
    <t>State University System of Florida; University of South Florida</t>
  </si>
  <si>
    <t>Univ S Florida, Coll Marine Sci, 140 7th Ave S, St Petersburg, FL 33701 USA.</t>
  </si>
  <si>
    <t>kaf@seas.marine.usf.edu</t>
  </si>
  <si>
    <t>10.1016/j.dsr2.2004.07.023</t>
  </si>
  <si>
    <t>WOS:000226045100005</t>
  </si>
  <si>
    <t>Dinniman, MS; Klinck, JM</t>
  </si>
  <si>
    <t>A model study of circulation and cross-shelf exchange on the west Antarctic Peninsula continental shelf</t>
  </si>
  <si>
    <t>OCEAN GENERAL-CIRCULATION; SURFACE FLUXES; ROSS SEA; VARIABILITY; SATELLITE; TOPOGRAPHY; WEDDELL; SCHEME</t>
  </si>
  <si>
    <t>Exchange of warm, nutrient-rich Circumpolar Deep Water (CDW) onto Antarctic continental shelves and coastal seas has important effects on physical and biological processes in these regions. The present study investigates the locations of this exchange and their dynamics in the west Antarctic Peninsula with a high-resolution three-dimensional numerical model. The model circulation is forced by daily wind stress along with heat and salt fluxes calculated by bulk formulae. All surface fluxes are modified by an imposed climatological ice cover. The model circulation compares favorably to general schematics of the flow based on dynamic topography, water properties from recent hydrography, and ADCP measurements. The sea-surface temperature is similar to satellite estimates except that the model temperatures are slightly higher than observations in the summer and lower in the winter. The seasonal variation of the depth and temperature of the model mixed layer matches observations reasonably well. Sub-pycnocline temperature shows evidence of persistent intrusion of warm CDW onto the shelf, for example, at the shelf break offshore of Adelaide Island. There is a significant correlation between the curvature of the shelf break and the volume transport across the shelf break, indicating that circulation crosses the shelf break in places where the tendency of the flow to maintain a given direction would have it cross a strongly curved bathymetric contour. A momentum term balance shows that momentum advection helps to force flow across the shelf break in specific locations due to the curvature of the bathymetry. For the model to create a strong intrusion of CDW onto the shelf, it appears two mechanisms are necessary. First, CDW is driven onto the shelf at least partially due to momentum advection and the curvature of the shelf break. Then, the general shelf circulation pulls the CDW into the interior. (C) 2004 Elsevier Ltd. All rights reserved.</t>
  </si>
  <si>
    <t>Old Dominion Univ, Ctr Coastal Phys Oceanog, Norfolk, VA 23529 USA</t>
  </si>
  <si>
    <t>Old Dominion University</t>
  </si>
  <si>
    <t>Old Dominion Univ, Ctr Coastal Phys Oceanog, Norfolk, VA 23529 USA.</t>
  </si>
  <si>
    <t>msd@ccpo.odu.edu</t>
  </si>
  <si>
    <t>Klinck, John/0000-0003-4312-5201; Dinniman, Michael/0000-0001-7519-9278</t>
  </si>
  <si>
    <t>10.1016/j.dsr2.2004.07.030</t>
  </si>
  <si>
    <t>WOS:000226045100006</t>
  </si>
  <si>
    <t>Perovich, DK; Elder, BC; Claffey, KJ; Stammerjohn, S; Smith, R; Ackley, SF; Krouse, HR; Gow, AJ</t>
  </si>
  <si>
    <t>Winter sea-ice properties in Marguerite Bay, Antarctica</t>
  </si>
  <si>
    <t>WEDDELL-SEA; SNOW-COVER; KRILL; FLUX; PERCOLATION; ECOLOGY; BIOTA</t>
  </si>
  <si>
    <t>During the winter 2001 and 2002 cruises of the SO-GLOBEC experiment, we investigated the morphological properties, growth processes, and internal permeability of sea ice in the Marguerite Bay area of the Western Antarctic Peninsula. There was considerable interannual variability in ice thickness with, average values of 62 cm in 2001 and 102 cm in 2002, with medians of 43 and 68 cm, respectively. Snow depth averaged 16 cm in 2001 and 21 cm in 2002. At 40% of the thickness holes in 2001 and 17% in 2002, a combination of deep snow and thin ice resulted in negative freeboard and the potential for surface flooding. Ice production was strongly influenced by the snow cover. Deep snow resulted in negative freeboard, surface flooding, and the formation of snow ice, but also limited columnar ice growth on the bottom of the ice. A stratigraphic analysis of ice thin sections showed that more than half of the ice sampled was granular and that virtually all of the upper 20 cm of the ice cover was granular. Stable isotope (6180) analysis of samples from 2001 indicated that snow-ice formation at the surface contributed significantly to ice formation. Two-thirds of the cores had some snow-ice and 15% of the ice sampled in 2001 was snow-ice. For 95% of the ice sampled the combination of warm ice temperatures and large salinities resulted in brine volumes that were greater than the percolation threshold of 5%. Autonomous mass balance buoys indicated that the ice was above the percolation threshold throughout late winter and spring. The exceeding of the percolation threshold allows continuous flooding to occur throughout the late winter-spring period. The WAP sea-ice therefore represents a warm end-member of the sea-ice covers of Antarctica. An expected consequence of the lengthy flooding condition at the snow/ice interface is an earlier onset of an algal bloom in the flooded snow than elsewhere in Antarctic sea ice. (C) 2004 Elsevier Ltd. All rights reserved.</t>
  </si>
  <si>
    <t>USA, Engineer Res &amp; Dev Ctr, Cold Reg Res &amp; Engn Lab, Hanover, NH 03755 USA; Columbia Univ, Lamont Doherty Geol Observ, Palisades, NY 10964 USA; Univ Calif Santa Barbara, Dept Geog, Santa Barbara, CA 93106 USA; Clarkson Univ, Dept Civil &amp; Environm Engn, Potsdam, NY 13699 USA; Univ Calgary, Dept Phys &amp; Astron, Calgary, AB T2N 1N4, Canada</t>
  </si>
  <si>
    <t>United States Department of Defense; United States Army; U.S. Army Corps of Engineers; U.S. Army Engineer Research &amp; Development Center (ERDC); Geospatial Research Laboratory (GRL); Cold Regions Research &amp; Engineering Laboratory (CRREL); Columbia University; University of California System; University of California Santa Barbara; Clarkson University; University of Calgary</t>
  </si>
  <si>
    <t>USA, Engineer Res &amp; Dev Ctr, Cold Reg Res &amp; Engn Lab, 72 Lyme Rd, Hanover, NH 03755 USA.</t>
  </si>
  <si>
    <t>perovich@crrel.usace.army.mil</t>
  </si>
  <si>
    <t>STAMMERJOHN, SHARON/0000-0002-1697-8244</t>
  </si>
  <si>
    <t>10.1016/j.dsr2.2004.07.024</t>
  </si>
  <si>
    <t>WOS:000226045100007</t>
  </si>
  <si>
    <t>Lawson, GL; Wiebe, PH; Ashjian, CJ; Gallager, SM; Davis, CS; Warren, JD</t>
  </si>
  <si>
    <t>Acoustically-inferred zooplankton distribution in relation to hydrography west of the Antarctic Peninsula</t>
  </si>
  <si>
    <t>KRILL EUPHAUSIA-SUPERBA; SOUTHERN-OCEAN; BACKSCATTERING STRENGTH; TAXONOMIC COMPOSITION; WEDDELL SEA; ABUNDANCE; VARIABILITY; SCATTERING; CARBON; LIGHT</t>
  </si>
  <si>
    <t>The relationship between the distribution of zooplankton, especially euphausiids (Euphausia and Thysanoessa spp.), and hydrographic regimes of the Western Antarctic Peninsula continental shelf in and around Marguerite Bay was studied as part of the Southern Ocean GLOBEC program. Surveys were conducted from the RVIB N.B. Palmer in austral fall (April-June) and winter (July-August) of 2001. Acoustic, video, and environmental data were collected along 13 transect lines running across the shelf and perpendicular to the Western Antarctic Peninsula coastline, between 65degreesS and 70degreesS. Depth-stratified net tows conducted at selected locations provided ground-truthing for acoustic observations. In fall, acoustic volume backscattering strength at 120 kHz was greatest. in the southern reaches of the survey area and inside Marguerite Bay, suggestive of high zooplankton and micronekton biomass in these regions. Vertically, highest backscattering was in the 150-450 m depth range, associated with modified Circumpolar Deep Water (CDW). The two deep troughs that intersect the shelf break were characterized by reduced backscattering, similar to levels observed off-shelf and indicative of lower zooplankton biomass in recent intrusions of CDW onto the continental shelf. Estimates of dynamic height suggested that geostrophic circulation likely caused both along- and across-shelf transport of zooplankton. By winter, scattering had decreased by an order of magnitude (10 dB) in the upper 300 m of the water column in most areas, and high backscattering levels were found primarily in a deep (&gt; 300 m) scattering layer present close to the bottom. The seasonal decrease is potentially explained by advection of zooplankton, vertical and horizontal movements, and mortality. Predictions of expected backscattering levels based on net samples suggested that large euphausiids were the dominant source of backscattering only at very particular locations and depths, and that copepods, siphonophores, and pteropods were more important in many locations. (C) 2004 Elsevier Ltd. All rights reserved.</t>
  </si>
  <si>
    <t>MIT Woods Hole Oceanog Inst Joint Program Oceanog, Woods Hole, MA USA; Woods Hole Oceanog Inst, Dept Biol, Woods Hole, MA 02543 USA; Southampton Coll, Southampton, NY 11968 USA</t>
  </si>
  <si>
    <t>MIT Woods Hole Oceanog Inst Joint Program Oceanog, Woods Hole, MA USA.</t>
  </si>
  <si>
    <t>glawson@whoi.edu</t>
  </si>
  <si>
    <t>Warren, Joseph/Y-4078-2019</t>
  </si>
  <si>
    <t>10.1016/j.dsr2.2004.07.022</t>
  </si>
  <si>
    <t>WOS:000226045100008</t>
  </si>
  <si>
    <t>Ashjian, CJ; Rosenwaks, GA; Wiebe, PH; Davis, CS; Gallager, SM; Copley, NJ; Lawson, GL; Alatalo, P</t>
  </si>
  <si>
    <t>Distribution of zooplankton on the continental shelf off Marguerite Bay, Antarctic Peninsula, during Austral Fall and Winter, 2001</t>
  </si>
  <si>
    <t>KRILL EUPHAUSIA-SUPERBA; WEDDELL SEA; SOUTH-GEORGIA; MACROZOOPLANKTON COMMUNITY; DISPLACEMENT VOLUME; WET WEIGHT; DRY-WEIGHT; FOOD WEB; ICE; ABUNDANCE</t>
  </si>
  <si>
    <t>The Marguerite Bay region of the Western Antarctic Peninsula is known to support a large population of krill during the summer and is hypothesized to be a site of successful overwintering of krill. The distributions of zooplankton biomass, abundance, and taxonomic composition at six locations on or near the continental shelf at Marguerite Bay were determined for fall and winter, 2001, as a part of the Southern Ocean GLOBEC program. Water column zooplankton were sampled using a 1-m(2) MOCNESS. Samples were analyzed for taxonomic composition, size, and estimated biomass using silhouette analysis. Characteristics of four categories (small and large copepods, small and large krill) were described in detail. Total biomass and abundance were markedly reduced in winter relative to fall. The vertical distributions of total abundance and biomass, and of taxonomic composition, were associated with the hydrographic structure of the water column. Larger larval krill were observed at all locations during winter than during fall. Krill were relatively unimportant to total biomass and abundance at most locations, while copepods frequently dominated both biomass and abundance. In fall, greatest abundance and biomass of larval krill were observed on the continental shelf in association with a persistent clockwise gyre located to the west of Adelaide Island. During winter, much lower abundances of larval krill were present in the water column throughout the study region. High abundance and biomass of juvenile and adult krill were observed only in Laubeuf Fjord (Marguerite Bay) during fall. (C) 2004 Elsevier Ltd. All rights reserved.</t>
  </si>
  <si>
    <t>Woods Hole Oceanog Inst, Dept Biol, Woods Hole, MA 02543 USA</t>
  </si>
  <si>
    <t>Woods Hole Oceanog Inst, Dept Biol, Woods Hole, MA 02543 USA.</t>
  </si>
  <si>
    <t>cashjian@whoi.edu</t>
  </si>
  <si>
    <t>Copley, Nancy/0000-0003-1473-8789; Wiebe, Peter/0000-0002-6059-4651</t>
  </si>
  <si>
    <t>10.1016/j.dsr2.2004.07.025</t>
  </si>
  <si>
    <t>WOS:000226045100009</t>
  </si>
  <si>
    <t>Zhou, M; Zhu, YW; Peterson, JO</t>
  </si>
  <si>
    <t>In situ growth and mortality of mesozooplankton during the austral fall and winter in Marguerite Bay and its vicinity</t>
  </si>
  <si>
    <t>KRILL EUPHAUSIA-SUPERBA; ZOOPLANKTON DISPLACEMENT VOLUME; MARGINAL ICE-ZONE; ANTARCTIC KRILL; POPULATION-DYNAMICS; COPEPOD INTERACTIONS; SOUTHERN-OCEAN; SIZE SPECTRUM; WET WEIGHT; DRY-WEIGHT</t>
  </si>
  <si>
    <t>Zooplankton play a critical role in the austral winter ecosystem of the Southern Ocean, transporting biomass from lower to higher trophic level organisms through their consumption and growth, and ultimately determining the survival of marine animals such as sea birds and mammals. Previous studies have provided evidence that krill utilize zooplankton through austral winter when the primary production is negligible. Though they are different, all survival strategies produce the same result, a decrease in total zooplankton biomass. It is difficult to examine the total zooplankton biomass balance and process rates from traditional net tow samples because of the spatial variation in zooplankton distribution and the lack of applicable mathematical methods to estimate population process rates. This study focuses on short-term (overnight) loss rates of mesozooplankton associated with adult krill grazing in austral fall and the long-term (winter) body growth and removal rates of mesozooplankton in austral winter based on measurements of zooplankton size structures obtained using an Optical Plankton Counter (OPC) mounted on a Multiple Opening and Closing Nets and Environmental Sensing System (MOCNESS). In order to target an adult Euphausia superba aggregation for a short period, a 153 kHz Vessel-Mounted (VM) Acoustic Doppler Current Profiler (ADCP) was used for the acoustic backscattering. The in situ process rates of growth and mortality are estimated based on the biomass balance and biomass spectrum theory. The overnight in situ grazing by adult E. superba on mesozooplankton is examined based on the in situ measurements of mesozooplankton biovolume within the water where an adult E. superba aggregation remained during a short study period in late April. The measurements show that approximately 16% of the existing mesozooplankton biovolume was removed in 4 h, which leads to an average specific daily grazing rate of 0.96 day(-1) assuming a daily feeding period of 16 h from dusk to dawn. From the amount of biovolume removed and the abundance of adult euphausiids of approximately 3 individuals m(-3) estimated from the volume backscattering strength and the size of adult euphausiids, the daily ration for an adult euphausiid is approximately equal to 7% body biovolume or biomass day(-1). The total mesozooplankton biovolume decreased at a specific rate of 0.017 day(-1) over the austral winter 2002, while the specific individual body growth was approximately 0.045 day(-1). The sum of these two rates leads to the specific mortality rate equal to approximately 0.07 day(-1) for the winter. These rates lead to a system efficiency of 67% for recycling the biomass during the winter. The measurements indicate that approximately 90% of biovolume (biomass) was removed in the period between the fall cruise in April-May and the winter cruise in August-September 2002. (C) 2004 Elsevier Ltd. All rights reserved.</t>
  </si>
  <si>
    <t>Univ Massachusetts, Dept Environm Coastal &amp; Ocean Sci, Boston, MA 02125 USA</t>
  </si>
  <si>
    <t>University of Massachusetts System; University of Massachusetts Boston</t>
  </si>
  <si>
    <t>Univ Massachusetts, Dept Environm Coastal &amp; Ocean Sci, 100 Morrissey Blvd, Boston, MA 02125 USA.</t>
  </si>
  <si>
    <t>meng.zhou@umb.edu</t>
  </si>
  <si>
    <t>10.1016/j.dsr2.2004.07.008</t>
  </si>
  <si>
    <t>WOS:000226045100010</t>
  </si>
  <si>
    <t>Zhou, M; Dorland, RD</t>
  </si>
  <si>
    <t>Aggregation and vertical migration behavior of Euphausia superba</t>
  </si>
  <si>
    <t>ANTARCTIC KRILL; SWIMMING SPEED; CALANUS-FINMARCHICUS; OXYGEN-CONSUMPTION; NORTHERN NORWAY; ZOOPLANKTON; ICE; ABUNDANCE; BALSFJORDEN; DYNAMICS</t>
  </si>
  <si>
    <t>Aggregation and vertical migration behavior of Euphausia superba were studied in Marguerite Bay and its vicinity west of the Antarctic Peninsula using a vessel-mounted, Acoustic Doppler Current Profiler, and a Multiple Opening and Closing Nets and Environmental Sensing System, during the 2001 and 2002 fall US Southern Ocean GLOBEC project cruises. The kinematics of aggregation behavior of E. superba associated with diel migration is studied using observations of their abundance and swimming velocities: during the day, E. superba reduce their swimming at a depth of 250 m; and at night, they swim randomly at their cruising speed in the upper part of an aggregation near the surface, and coherently as schooling in the lower part of an aggregation. The causes for the aggregation behavior and vertical migration of krill are explored by examining the relationship with ice coverage and presence of predators. The motion of euphausiids is further analyzed in terms of kinetic energy and force balance, leading to new considerations of mathematical theories and models of aggregation behavior. The results show a diel variation of the energy demand for maintaining their locomotion. The horizontal scale of an aggregation is studied in conjunction with horizontal gradients of currents. Results indicate that the swimming capability of euphausiids determines the maintenance of an aggregation in the mesoscale circulation field. (C) 2004 Elsevier Ltd. All rights reserved.</t>
  </si>
  <si>
    <t>10.1016/j.dsr2.2004.07.009</t>
  </si>
  <si>
    <t>WOS:000226045100011</t>
  </si>
  <si>
    <t>Daly, KL</t>
  </si>
  <si>
    <t>Overwintering growth and development of larval Euphausia superba:: an interannual comparison under varying environmental conditions west of the Antarctic Peninsula</t>
  </si>
  <si>
    <t>SEA-ICE; BRANSFIELD STRAIT; ENERGY BUDGETS; WEDDELL SEA; SCOTIA SEA; KRILL; WINTER; SHRINKAGE; ABUNDANCE; RECRUITMENT</t>
  </si>
  <si>
    <t>Growth, molting, and development of larval Antarctic krill were investigated near Marguerite Bay during four cruises in austral autumn and winter 2001 and 2002, as part of the US Southern Ocean GLOBEC program. Overwintering survival of larvae has been linked to annual sea-ice formation and extent, as sea-ice biota may provide food when other sources are scarce in the water column. During autumn 2001, larvae were very abundant (1-19 individuals m(-3)), with younger stages dominant offshelf and older stages dominant on-shelf. On-shelf larvae were in better condition than offshore larvae. During autumn 2002, larvae again were abundant offshelf (0.01-110 m(-3)), whereas all stages were scarce on-shelf. Declining diatom and radiolarian blooms were present during autumn in both years. Average chlorophyll concentrations were low (0.10 vs. 0.22 mug 1(-1)) in autumn and an order of magnitude lower in winter. Carbon content of larvae during autumn 2001 and 2002 (41% vs. 38% C of DW) suggested that lipid storage was moderate. The median autumn larval growth rate (0.027 mm d(-1)) was lower and the intermolt period (19 d) longer than reported summer values. During winter, larvae appeared to be food-limited based on the following observations: (1) the median growth rate decreased (0.00 mm d(-1)) and the intermolt period increased (40 d), (2) larval length-specific dry weight (DW) and % carbon and nitrogen of DW decreased, and (3) 88 % of furcilia 6 did not develop to the juvenile stage, but remained at the same stage after molting. Experimental results demonstrated that some larvae could survive starvation for a month by combusting body reserves (ca. 1 % decrease in DW and body C and Nd-1), implying that a portion of the population was resilient to the suboptimal food supply. Although sea ice formed up to 2 months earlier in 2002, ice algae at the ice-water interface, where it is accessible to krill, was not an abundant food source in either year (0.05 vs. 0.07 mug chl 1(-1)). In winter 2001, furcilia were commonly observed near the undersurface of sea-ice, but only rarely in 2002 until mid-September, when ice algae began to accumulate. Low gut fluorescence values also indicate that little nutrition was derived from autotrophs in winter. Instead, larvae were likely opportunistic scavengers exploiting all available food sources, including microzooplankton, benthic larvae, detritus, scarce phytoplankton and sea-ice biota. In summary, larval krill exhibited several overwintering behaviors: (1) flexible feeding, (2) flexible morphology (i.e., delayed development), (3) flexible physiology (i.e., increased intermolt period, reduced growth), (4) moderate lipid storage, and (5) ability to withstand starvation by combusting body C and N. Because most larvae did not shrink in length, this measure may not be a good indicator of the body combustion strategy. At these high latitudes, sea-ice biota may not be a primary source of food during winter, but progressively more important in spring as irradiance levels increase. Winter survivors during 2001 resulted in a significant recruitment to the juvenile size class during spring. (C) 2004 Elsevier Ltd. All rights reserved.</t>
  </si>
  <si>
    <t>Univ S Florida, Coll Marine Sci, St Petersburg, FL 33701 USA.</t>
  </si>
  <si>
    <t>kdaly@marine.usf.edu</t>
  </si>
  <si>
    <t>10.1016/j.dsr2.2004.07.010</t>
  </si>
  <si>
    <t>WOS:000226045100012</t>
  </si>
  <si>
    <t>Ross, RM; Quetin, LB; Newberger, T; Oakes, SA</t>
  </si>
  <si>
    <t>Growth and behavior of larval krill (Euphausia superba) under the ice in late winter 2001 west of the Antarctic Peninsula</t>
  </si>
  <si>
    <t>LIFE-HISTORY; GUT; RATES; PHYTOPLANKTON; ZOOPLANKTON; TEMPERATURE; SUMMER; SECTOR</t>
  </si>
  <si>
    <t>In situ growth rates are one measure of the physiological condition of larval Antarctic krill in winter. During the southern ocean global ecosystem dynamics (SO GLOBEC) research cruise in July/August 2001 aboard the ARSV Laurence M. Gould west of Adelaide Island and Marguerite Bay, larval krill were observed in the under-ice habitat. Ten instantaneous growth rate experiments were conducted with larvae collected from the under-ice habitat on the outer shelf, mid-shelf, and just south of Adelaide Island in the mouth of Marguerite Bay. For all experiments, average growth increments for larval krill were about -1.6% per intermolt period, with a median intermolt period of 30.6d. Larvae were observed feeding on the ice, even though no color was visible in the ice. Pigment (chlorophyll a equivalents) content of larvae from three of the sites was measured as an indicator of ingestion of sea-ice microalgae. Pigment values were above those found in starved controls, but only about 20% of maximum possible values. Although feeding, the data suggested that the larval krill were unable to ingest enough food to maintain growth. The results from this first SO GLOBEC winter process cruise were compared to growth rates of larval krill during previous winter cruises that covered all months from late May through September, except for the month of August. (C) 2004 Elsevier Ltd. All rights reserved.</t>
  </si>
  <si>
    <t>Univ Calif Santa Barbara, Inst Marine Sci, Santa Barbara, CA 93106 USA; Columbia Univ, Lamont Doherty Geol Observ, Palisades, NY 10964 USA</t>
  </si>
  <si>
    <t>University of California System; University of California Santa Barbara; Columbia University</t>
  </si>
  <si>
    <t>Univ Calif Santa Barbara, Inst Marine Sci, Santa Barbara, CA 93106 USA.</t>
  </si>
  <si>
    <t>Newberger, Timothy/AAR-7103-2020</t>
  </si>
  <si>
    <t>10.1016/j.dsr2.2004.07.001</t>
  </si>
  <si>
    <t>WOS:000226045100013</t>
  </si>
  <si>
    <t>Pakhomov, EA; Atkinson, A; Meyer, B; Oettl, B; Bathmann, U</t>
  </si>
  <si>
    <t>Daily rations and growth of larval krill Euphausia superba in the Eastern Bellingshausen Sea during austral autumn</t>
  </si>
  <si>
    <t>ANTARCTIC KRILL; ENERGY BUDGETS; BRANSFIELD STRAIT; SOUTHERN-OCEAN; DESTRUCTION; PHYTOPLANKTON; CHLOROPHYLL; ABUNDANCE; CALANUS; SUMMER</t>
  </si>
  <si>
    <t>As the German contribution to the Southern Ocean Global Ocean Ecosystems Dynamics Study (SO GLOBEC), RV Polarstern visited the Eastern Bellingshausen Sea between 18 April and 1 May 2001. This paper examines in situ feeding cycles, ingestion rates and growth of larval krill Euphausia superba. Larval krill were exceptionally numerous, especially over the shelf break and continental slope: mean 8872 larvae m(-2), maximum 30 084 larvae m-2. The developmental stage composition of krill larvae over the shelf was advanced compared to that at continental slope stations, which may have resulted from enhanced food availability over the shelf. Despite the season being late autumn, the feeding activity of larval krill was similar to published summer rates. The intermoult period of larval krill ranged from 6 to 17 days, with daily growth rates reaching 2.2% of body length, 8.7% of body wet mass and 5.7% of body carbon. Daily ingestion rates were 8.5-17.6 mug C ind(-1) d(-1) for calyptopis 3 to furcilia 2 and 35.1-57.4 mug C ind(-1) d(-1) for furcilia 3-5, and were positively correlated with ambient chlorophyll a concentrations. Daily rations showed the same tendency, ranging from 21.5 to 44.5% of body Cd-1 (catyptopis 3 to furcilia 2) and from 17.8 to 29.2% of body Cd-1 (furcilia 3-5). Comparison of daily rations between open water and sea ice stations supports the notion that larval krill at low pelagic food supply under the sea ice have to exploit ice biota to sustain their metabolic demands. (C) 2004 Elsevier Ltd. All rights reserved.</t>
  </si>
  <si>
    <t>Univ Ft Hare, Dept Zool, ZA-5700 Alice, South Africa; British Antarctic Survey, NERC, Cambridge CB3 0ET, England; Alfred Wegener Inst Polar &amp; Marine Res, D-27515 Bremerhaven, Germany</t>
  </si>
  <si>
    <t>University of Fort Hare; UK Research &amp; Innovation (UKRI); Natural Environment Research Council (NERC); NERC British Antarctic Survey; Helmholtz Association; Alfred Wegener Institute, Helmholtz Centre for Polar &amp; Marine Research</t>
  </si>
  <si>
    <t>Atkinson, Angus/HOH-3417-2023; Meyer, Bettina/ABB-5311-2020; Bathmann, Ulrich/ISV-4351-2023</t>
  </si>
  <si>
    <t>Meyer, Bettina/0000-0001-6804-9896;</t>
  </si>
  <si>
    <t>10.1016/j.dsr2.2004.08.003</t>
  </si>
  <si>
    <t>WOS:000226045100014</t>
  </si>
  <si>
    <t>Ju, SJ; Harvey, HR</t>
  </si>
  <si>
    <t>Lipids as markers of nutritional condition and diet in the Antarctic krill Euphausia superba and Euphausia crystallorophias during austral winter</t>
  </si>
  <si>
    <t>FATTY-ACID-COMPOSITION; WAX ESTERS; CALANUS-PROPINQUUS; CALANOIDES-ACUTUS; ENERGY BUDGETS; SOUTH GEORGIA; MARINE; COPEPODS; GROWTH; STEROL</t>
  </si>
  <si>
    <t>To understand the nutritional condition and feeding history of Antarctic krill during winter, Euphausia superba and E. crystallorophias were collected by MOCNESS during July August 2001 in Maguerite Bay southeast of Adelaide Island. Total lipid, lipid classes, fatty acids, fatty alcohols and sterols were analyzed in animals among several life stages. Lipids in seston and major copepods representing potential diets were collected from the water column and quantified to compare with krill. Stomach contents also were examined in selected adult krill to provide a visual snapshot of ingested material and comparison with lipid biomarkers. Total lipids in adult E. crystallorophias were significantly higher than adult E. superba (30.0% and 20.2% of dry weight, respectively). Wax esters were the major storage lipid in E. crystallorophias, accounting for over half (mean of 55.9%) of the total lipid in adult animals. In contrast, K superba contained triacylglycerols as the dominant storage lipid in adults (mean of 45.5% of total lipid). Fatty acid and sterol distributions in krill showed minor differences between species and life stages. Larval krill, however, contained higher polyunsaturated fatty acids (PUFA) than sub- and adult krill. While only trace amounts of fatty alcohols were found in E superba, significant amounts were found in E. crystallorophias, particularly 14:0 and 16:0, which were major components of wax esters. Results for lipid classes, individual lipids, and stomach content suggest that E superba is less dependent on stored lipid for overwintering than E crystallorophias. E superba are omnivorous, with copepods representing a significant dietary source for adults in winter. Furciliae of both species contain lower levels of lipid storage in winter and feed largely on detritus or organisms associated with ice. (C) 2004 Elsevier Ltd. All rights reserved.</t>
  </si>
  <si>
    <t>Univ Maryland, Chesapeake Biol Lab, Solomons, MD 20688 USA</t>
  </si>
  <si>
    <t>University System of Maryland; University of Maryland Center for Environmental Science</t>
  </si>
  <si>
    <t>Univ Maryland, Chesapeake Biol Lab, POB 38, Solomons, MD 20688 USA.</t>
  </si>
  <si>
    <t>harvey@cbl.umces.edu</t>
  </si>
  <si>
    <t>Ju, Se-Jong/A-9029-2009</t>
  </si>
  <si>
    <t>10.1016/j.dsr2.2004.08.004</t>
  </si>
  <si>
    <t>WOS:000226045100015</t>
  </si>
  <si>
    <t>Nicol, S; Virtue, P; King, R; Davenport, SR; McGaffin, AF; Nichos, P</t>
  </si>
  <si>
    <t>Condition of Euphausia crystallorophias off East Antarctica in winter in comparison to other seasons</t>
  </si>
  <si>
    <t>LIPID-COMPOSITION; BODY SHRINKAGE; FATTY-ACID; KRILL; SUPERBA; GROWTH; STRATEGIES; METABOLISM</t>
  </si>
  <si>
    <t>Antarctic coastal krill (Euphausia crystallorophias) were collected in Austral winter (July/August) 1999 in the Mertz Glacier polynya off the coast of East Antarctica and were compared to krill collected off East Antarctica during summer in 1996 and 2001 and spring 1999. A range of experiments and measurements were conducted to assess their relative condition in winter and summer. Krill collected in winter had pale yellow-green digestive glands, indicating some recent feeding activity. The size of the digestive glands was small relative to those of krill caught in summer. This indicates that feeding had been occurring at low levels during the collection period. Growth rates, measured using the instantaneous growth rate methodology, were close to zero in winter (range -5% to 7% per moult). This was an indication that some food had been available during the period of the moult cycle. Growth rates in spring ranged from -0.5% to + 8.7% per moult and from 4% to 12% per moult in the summer. The mean length of the winter moult cycle (68 days) was considerably greater than the measured intermoult period in summer and spring (24-33 days). Lipid levels were low in winter, less than 5% of body weight, compared to summer levels of similar to15% (dry weight). Winter krill were richer in wax esters and poorer in polar lipids than specimens collected in summer. Krill in winter were lacking in C16 PUFA that are markers of the phytoplankton diet common in summer krill. Krill caught in the winter had significantly higher levels of 20:1 and 22:1 fatty acids (2.3%) and alcohols (8.1%) than krill sampled in summer (0.2%, 0%), indicating a shift to a carnivorous diet. Results from this study suggest that E. crystallorophias respond to low food abundance during the winter through metabolic and physiological processes. These processes were reflected in a decrease in growth rate and a significant increase in the intermoult period. The process of lipid utilisation and switching to a carnivorous/detrital type diet are also overwintering strategies employed by this species. (C) 2004 Elsevier Ltd. All rights reserved.</t>
  </si>
  <si>
    <t>Australian Antarctic Div, Kingston, Tas 7050, Australia; Univ Tasmania, Inst Antarctic &amp; So Ocean Studies, Hobart, Tas 7001, Australia; CSIRO, Div Marine Res, Hobart, Tas 7001, Australia</t>
  </si>
  <si>
    <t>Australian Antarctic Division; University of Tasmania; Commonwealth Scientific &amp; Industrial Research Organisation (CSIRO)</t>
  </si>
  <si>
    <t>steve.nicol@aad.gov.au</t>
  </si>
  <si>
    <t>Virtue, Patti/0000-0002-9870-1256; King, Robert/0000-0002-4650-2335</t>
  </si>
  <si>
    <t>10.1016/j.dsr2.2004.07.002</t>
  </si>
  <si>
    <t>WOS:000226045100016</t>
  </si>
  <si>
    <t>Donnelly, J; Kawall, H; Geiger, SP; Torres, JJ</t>
  </si>
  <si>
    <t>Metabolism of Antarctic micronektonic crustacea across a summer ice-edge bloom: respiration, composition, and enzymatic activity</t>
  </si>
  <si>
    <t>KRILL EUPHAUSIA-SUPERBA; RNA-DNA RATIO; CHEMICAL-COMPOSITION; WEDDELL SEA; MESOPELAGIC FISHES; BIOCHEMICAL INDICATORS; ELEMENTAL COMPOSITION; PROXIMATE COMPOSITION; MIDWATER CRUSTACEANS; SCIAENOPS-OCELLATUS</t>
  </si>
  <si>
    <t>The Antarctic marginal ice zone is an important oceanic front separating the pack-ice and open-water environments. During summer, the retreating pack ice creates a meltwater lens in the euphotic zone, allowing primary producers and microheterotrophs to flourish in a discrete bloom just seaward of the retreating ice edge that lasts about 60 days. The purpose of the present study was to see if the ice-edge bloom had a discernible effect on the metabolism and physiological condition of Antarctic micronekton similar to that observed in zooplankton species. We also wished to assess the importance of the summer season to species' life cycles. Two major data sets were collected on 25 species in the following taxonomic groups: amphipods, cephalopods, decapods, euphausiids, isopods, mysids, ostracods, and polychaetes. The first data set described the metabolic rates of individuals in areas of the marginal ice zone with widely different levels of chlorophyll biomass to investigate the effect of the ice-edge bloom on metabolism. Additionally, summer metabolic rates were compared with data from other seasons. The second data set detailed the levels of protein, water, ash, RNA and DNA, and the activities of metabolic enzymes (citrate synthase and malate dehydrogenase) to examine the efficacy of biochemical indices as predictive tools for metabolism. Results suggested that the mobility of the micronektonic species eliminated most direct effects of the bloom on metabolism. Individuals captured in very different productivity regimes showed few significant differences in the metabolic indicators listed above. Isolated cases of changes in body composition and enzyme activity, however, implied that longer-term effects of the bloom may be exhibited. Seasonal increases in metabolism from winter to summer were observed in the euphausiids Euphausia superba, E. triacantha, and Thysanoessa macrura and the amphipod Vibilia stebbingi. It was concluded that the seasonal shifts were indicative of a type 2 or compromise overwintering strategy whereby metabolism drops without an accompanying dormant state. Protein content and MDH activity were found to be the best predictors of respiration rate, while nucleic acid measures only correlated with respiration in immature specimens. (C) 2004 Elsevier Ltd. All rights reserved.</t>
  </si>
  <si>
    <t>Univ S Florida, Coll Marine Sci, St Petersburg, FL 33701 USA; Coorden Biol Uniandrade, BR-80230150 Curitiba, Parana, Brazil</t>
  </si>
  <si>
    <t>State University System of Florida; University of South Florida; Centro Universitario Campos de Andrade</t>
  </si>
  <si>
    <t>Torres, JJ (corresponding author), Univ S Florida, Coll Marine Sci, 140 7th Ave S, St Petersburg, FL 33701 USA.</t>
  </si>
  <si>
    <t>10.1016/j.dsr2.2004.07.003</t>
  </si>
  <si>
    <t>WOS:000226045100017</t>
  </si>
  <si>
    <t>Lancraft, TM; Relsenbichler, KR; Robison, BH; Hopkins, TL; Torres, JJ</t>
  </si>
  <si>
    <t>A krill-dominated micronekton and macrozooplankton community in Croker Passage, Antarctica with an estimate of fish predation</t>
  </si>
  <si>
    <t>MARGINAL ICE-ZONE; SOUTHERN-OCEAN; ZOOPLANKTON COMMUNITY; BRANSFIELD STRAIT; EUPHAUSIA-SUPERBA; ELEPHANT ISLAND; FEEDING ECOLOGY; OPEN WATERS; SCOTIA SEA; PENINSULA</t>
  </si>
  <si>
    <t>A micronektonic and macrozooplanktonic community was sampled with midwater trawls in the Croker Passage, vic. Antarctic Peninsula. Species composition suggested the area was a faunal transition zone between oceanic and nearshore communities. In a comparison between the study area and two oceanic areas, four of the top five numerically dominant species were identical (Euphausia superba, Salpa thompsoni, Thysanoessa macrura and Sagitta gazellae). In the nearshore region a mysid (Antarctomysis ohlinii) replaced the oceanic chaetognath Euhrohnia hamata in numerical ranking. E. superba was primarily responsible for the much higher nearshore biomass values when compared with those of oceanic regions (52.6 vs 2.4-3.1 g DM/m(2)). The ctenophore Callianira antarctica, the mysid A. ohlinii, and the pelagic notothemid fish Pleuragramma antarcticum were important neritic biomass species. Some oceanic species, notably S. thompsoni and the mesopelagic fish Electrona antaretica, were also important contributors to total micronektonic biomass. Fish predation by P. antarcticum and E. antaretica on E. superba (assuming constant fish and krill populations through the season that was sampled, the austral fall (90 d), and using our daily consumption values) is estimated at 2.5% and 2.9% of the total krill numbers, respectively, mostly on the juvenile segment of the population. Krill densities vary considerably in time and space, while available data suggest that pelagic fishes show less seasonal and spatial change. The most likely explanation for those observations is that the fishes are reliably more vulnerable to sampling gear than krill, but it also implies a consistent low level of fish predation on krill throughout the year, particularly on juveniles. (C) 2004 Elsevier Ltd. All rights reserved.</t>
  </si>
  <si>
    <t>Univ S Florida, Coll Mar Sci, St Petersburg, FL 33701 USA; St Petersburg Coll, Dept Nat Sci, St Petersburg, FL 33710 USA; Monterey Bay Aquarium Res Inst, Moss Landing, CA 95039 USA</t>
  </si>
  <si>
    <t>State University System of Florida; University of South Florida; Monterey Bay Aquarium Research Institute</t>
  </si>
  <si>
    <t>Torres, JJ (corresponding author), Univ S Florida, Coll Mar Sci, 140 7th Ave S, St Petersburg, FL 33701 USA.</t>
  </si>
  <si>
    <t>10.1016/j.dsr2.2004.07.004</t>
  </si>
  <si>
    <t>WOS:000226045100018</t>
  </si>
  <si>
    <t>Chapman, EW; Ribic, CA; Fraser, WR</t>
  </si>
  <si>
    <t>The distribution of seabirds and pinnipeds in Marguerite Bay and their relationship to physical features during austral winter 2001</t>
  </si>
  <si>
    <t>PENINSULA CONTINENTAL-SHELF; ANTARCTIC PENINSULA; BERING-SEA; ABUNDANCE; ECOLOGY; OCEAN; HYDROGRAPHY; ASSEMBLAGES; FRONTS; WATERS</t>
  </si>
  <si>
    <t>The distribution of seabirds and pinnipeds and their relationship to physical oceanographic variables were investigated as part of the US Southern Ocean Global Ocean Ecosystem Dynamics field program along a study grid centered around Marguerite Bay on the west Antarctic Peninsula during late fall (April-May) and winter (July-August), 2001. Sea-ice conditions during the cruises provided an opportunity to compare the relationship among physical oceanographic variables and species distributions before and after the development of pack ice. During the fall cruise before pack ice development, both sea-ice-affiliated species and open-water-affiliated were observed in the area. The most common ice-affiliated species observed at this time were snow petrel (Pagodroma nivea, 0.7 individuals km(-2)) and Antarctic petrel (Thalassoica antarctica, 0.2 individuals km-2) and the most common open-water- affiliated species were blue petrel (Halobaena caeridea, 0.4 individuals km(-2)), cape petrel (Daption capense, 0.2 individuals km(-2)), and southern fulmar (Fuhmarus glacialoides, 0.1 individuals km(-2)). In addition, Antarctic fur seals (Arctocephahis gazella, 0.1 individuals km(-2)) and crabeater seals (Lobodon carcinophagus, 0.4 individuals km(-2)) were observed in low numbers. Akaike's information criterion was used to assess competing models that predicted predator distributions based on physical oceanographic variables proposed to structure predator distribution in previous research. These analyses indicated that predator distributions were primarily associated with water-mass structure and variability in bottom depth during the fall cruise. Crabeater seal, snow petrel, Antarctic petrel, and southern fulmar had higher densities in Inner Shelf Water, particularly near Alexander Island where a coastal current was present. Blue petrel, kelp gull (Larus dominicanus), and southern giant petrel (Macronectes giganteus) were positively associated with variability in bottom depth in April-May, suggesting that hydrographic processes influenced by bathymetry may have been important in structuring bird distributions. After the development of pack ice, during July and August, only sea-ice-affiliated species, including snow petrel (1.0 individuals km(-2)), Antarctic petrel (0.1 individuals km(-2)), Adelie penguin (Pygoseelis adeliae, 0.4 individuals km(-2)), and crabeater seal (0.3 individuals km(-2)), were observed. Seabirds were primarily associated with sea-ice characteristics (e.g. sea-ice concentration, sea-ice type) rather than the water-column environment later in the winter. Results from this study suggest that the timing and extent of sea-ice development in the fall may influence over-winter predation by seabirds and pinnipeds on zooplankton and fish on the western Antarctic Peninsula. Delays in sea-ice development may allow seabirds and pinnipeds access to biologically important areas such as the Inner Shelf Water for a longer period of time thereby increasing predation on zooplankton and fish. (C) 2004 Elsevier Ltd. All rights reserved.</t>
  </si>
  <si>
    <t>Univ Wisconsin, USGS Wisconsin Cooperat Wildlife Res Unit, Dept Wildlife Ecol, Madison, WI 53706 USA; Polar Oceans Res Grp, Sheridan, MT 59749 USA</t>
  </si>
  <si>
    <t>United States Department of the Interior; United States Geological Survey; University of Wisconsin System; University of Wisconsin Madison</t>
  </si>
  <si>
    <t>CCPO, Crittenton Hall 768,52nd St, Norfolk, VA 23529 USA.</t>
  </si>
  <si>
    <t>chapinan@ccpo.odu.edu</t>
  </si>
  <si>
    <t>10.1016/j.dsr2.2004.07.005</t>
  </si>
  <si>
    <t>WOS:000226045100019</t>
  </si>
  <si>
    <t>Burns, JM; Costa, DP; Fedak, MA; Hindell, MA; Bradshaw, CJA; Gales, NJ; McDonald, B; Trumble, SJ; Crocker, DE</t>
  </si>
  <si>
    <t>Winter habitat use and foraging behavior of crabeater seals along the Western Antarctic Peninsula</t>
  </si>
  <si>
    <t>KRILL EUPHAUSIA-SUPERBA; SOUTHERN ELEPHANT SEALS; FUR SEALS; LOBODON-CARCINOPHAGUS; WEDDELL SEA; PACK-ICE; DIVING BEHAVIOR; ARCTOCEPHALUS-GAZELLA; PENGUINS; PREY</t>
  </si>
  <si>
    <t>We quantified the winter and spring movement patterns and foraging behavior of adult crabeater seals (Lobodon carcinophagus), and the influence of sea ice and bathymetry on their foraging behavior. Thirty-four seals (16 M 18 F) were outfitted with Satellite Relay Data Loggers (SRDLs) in the Marguerite Bay Region of the Antarctic Peninsula (similar to67degreesS, 67degreesW) during the austral winters of 2001 and 2002. Tags transmitted position and dive information for between 4 and 174 days. Overall, winter activity patterns differed significantly from previously reported data collected during the summer: seals in this study dived deeper (92 +/- 0.2 m, range 6-713 m) and longer (5.26 min +/- 0.6, range 0.2-23.6 min), hauled out during the night rather than the day, and showed seasonal shifts in foraging patterns consistent with foraging on vertically migrating prey. While these patterns were more pronounced in 2001 than in 2002, there were no strong differences in patterns of habitat use between the 2 years. Some animals made long distance movements (furthest movements 664 km to northeast, 1147 km to southwest), but most seals remained within 300 km of their tagging location. Within the Marguerite Bay/Crystal Sound region, seals appeared to favor foraging locations on the continental shelf within the 50 to 450 m depth range, with a tendency to avoid depths of 600 m or greater. In both years, seals remained deep within the pack ice throughout the winter, and did not move into regions with less ice cover. Seals were more likely to be located in shallow water where the bathymetric gradients were greatest, and in areas of higher sea-ice concentration. In combination, these findings suggest that crabeater seals alter their behavior to accommodate seasonal and/or annual fluctuations in seasonal sea ice and associate with bathymetric features likely to concentrate prey patches. (C) 2004 Elsevier Ltd. All rights reserved.</t>
  </si>
  <si>
    <t>Univ Alaska, Dept Biol Sci, Anchorage, AK 99508 USA; Univ Calif Santa Cruz, Dept Ecol &amp; Evolutionary Biol, Santa Cruz, CA 95060 USA; Univ St Andrews, Gatty Marine Lab, Sea Mammal res Unit, St Andrews KY16 8LB, Fife, Scotland; Univ Tasmania, Antarctic Wildlife Res Unit, Sch Zool, Hobart, Tas 7001, Australia; Australian Antarctic Div, Kingston, Tas 7050, Australia; Sonoma State Univ, Dept Biol, Rohnert Pk, CA 94928 USA; Univ Alaska Fairbanks, Sch Fisheries &amp; Ocean Studies, Fairbanks, AK 99775 USA</t>
  </si>
  <si>
    <t>University of Alaska System; University of Alaska Anchorage; University of California System; University of California Santa Cruz; University of St Andrews; University of Tasmania; Australian Antarctic Division; California State University System; Sonoma State University; University of Alaska System; University of Alaska Fairbanks</t>
  </si>
  <si>
    <t>Burns, JM (corresponding author), Univ Alaska, Dept Biol Sci, 3211 Providence Dr, Anchorage, AK 99508 USA.</t>
  </si>
  <si>
    <t>jburns@uaa.alaska.edu</t>
  </si>
  <si>
    <t>Hindell, Mark A/C-8368-2013; Bradshaw, Corey J. A./A-1311-2008; Hindell, Mark A/K-1131-2013; Burns, Jennifer M/C-4159-2013; Burns, Jennifer/AAC-8243-2019; McDonald, Birgitte I/I-3602-2019; Fedak, Michael/B-3987-2009; Costa, Daniel Paul/E-2616-2013</t>
  </si>
  <si>
    <t>Bradshaw, Corey J. A./0000-0002-5328-7741; Burns, Jennifer/0000-0001-9652-2943; McDonald, Birgitte I/0000-0001-5028-066X; Fedak, Michael/0000-0002-9569-1128; Trumble, Stephen/0000-0001-6319-9633; Costa, Daniel Paul/0000-0002-0233-5782; Hindell, Mark/0000-0002-7823-7185</t>
  </si>
  <si>
    <t>10.1016/j.dsr2.2004.07.021</t>
  </si>
  <si>
    <t>WOS:000226045100020</t>
  </si>
  <si>
    <t>Gales, NJ; Fraser, WR; Costa, DP; Southwell, C</t>
  </si>
  <si>
    <t>Do crabeater seals forage cooperatively?</t>
  </si>
  <si>
    <t>LOBODON-CARCINOPHAGUS; BEHAVIOR; ANTARCTICA</t>
  </si>
  <si>
    <t>Crabeater seals are abundant pack-ice predators that feed almost exclusively on krill. They have a circumpolar distribution and are generally sighted hauled out on ice floes alone or in pairs. Here we report our observations of a sighting of 150-200 crabeater seals, which were synchronised in their diving and surfacing behaviour, along with a summary of similar observations from western Antarctica of large groups of crabeater seals in synchronous dive cycles. We report on the low frequency of sightings of such groups during Antarctic pack-ice seal surveys in eastern (Greater) Antarctica. We examine plausible hypotheses to explain these observations, and suggest this behaviour is likely to represent some form of cooperative foraging behaviour, whereby a net advantage in individual energy intake rates is conferred to each seal. Current research on crabeater seal foraging using satellite-linked dive recorders is unlikely to provide sufficiently fine-scale data to examine this hypothesis. Nor will this approach indicate if a seal is foraging with conspecifics. The use of remote or animal-borne camera systems is more likely to provide an insight into fine-scale foraging tactics, as well as the possible, occasional use of cooperative foraging strategies. (C) 2004 Elsevier Ltd. All rights reserved.</t>
  </si>
  <si>
    <t>Australian Antarctic Div, Kingston, Tas 7050, Australia; Polar Oceans Res Grp, Sheridan, MT USA; Univ Calif Santa Cruz, Dept Ecol &amp; Evolutionary Biol, Santa Cruz, CA 95060 USA</t>
  </si>
  <si>
    <t>Australian Antarctic Division; University of California System; University of California Santa Cruz</t>
  </si>
  <si>
    <t>Gales, NJ (corresponding author), Australian Antarctic Div, Channel Highway, Kingston, Tas 7050, Australia.</t>
  </si>
  <si>
    <t>Carlos, Universidade Federal de São/W-8832-2019; Costa, Daniel Paul/E-2616-2013</t>
  </si>
  <si>
    <t>Carlos, Universidade Federal de São/0000-0002-0334-3899; Costa, Daniel Paul/0000-0002-0233-5782</t>
  </si>
  <si>
    <t>10.1016/j.dsr2.2004.07.006</t>
  </si>
  <si>
    <t>WOS:000226045100021</t>
  </si>
  <si>
    <t>Thiele, D; Chester, ET; Moore, SE; Sirovic, A; Hildebrand, JA; Friedlaender, AS</t>
  </si>
  <si>
    <t>Seasonal variability in whale encounters in the Western Antarctic Peninsula</t>
  </si>
  <si>
    <t>SEA-ICE EXTENT; EUPHAUSIA-SUPERBA; MARINE MAMMALS; HABITAT SELECTION; WEDDELL SEA; BELLINGSHAUSEN; PREDATORS; AMUNDSEN; DYNAMICS; KRILL</t>
  </si>
  <si>
    <t>Cetacean sighting surveys were conducted as part of nine multidisciplinary research cruises over late summer, autumn and winter of 2 years (2001-2003) during the Southern Ocean Global Ocean Ecosystems (SO GLOBEC) program. Sea-ice cover differed markedly between years, with apparent effects on cetacean distribution. No ice was present until late June in 2001, while the previous winter sea ice never fully retreated (&gt; 30% cover) during the 2002 or 2003 summer, thus increasing the proportion of thicker and more complex ice, including multi-year floes. Humpback (237 sightings; 537 individuals) and minke (103 sightings: 267 individuals) whales were the most commonly detected species. Data from seven comparable cruises were used to identify habitat for minke and humpback whales over five geographically distinct spatial divisions in the study area. In all years, both species were predominantly found in near coastal habitat, particularly in the fjords where complex habitat likely concentrated prey. In 2002 and 2003 the presence of sea ice provided additional feeding habitat, and the numbers of minkes (in winter) and humpbacks (late summer and autumn) in the area doubled compared with 2001. Humpbacks in particular were concentrated at the ice boundaries during late summer and autumn, while minke numbers increased in the winter that followed and occupied ice-covered areas along the entire shelf edge. Important resource sites for these species are mainly located in near-coastal areas and are used in all years, but when ice margins exist and intersect with resource sites they attract much larger numbers of animals due to the dynamics between sea ice and prey. (C) 2004 Elsevier Ltd. All rights reserved.</t>
  </si>
  <si>
    <t>Deakin Univ, Whale Ecol Grp So Ocean, Sch Ecol &amp; Environm, Warrnambool, Vic, Australia; NOAA AFSC Natl Marine Mammal Lab, Seattle, WA USA; Scripps Inst Oceanog, MPL, La Jolla, CA USA; Duke Univ, Nicholas Sch Environm, Durham, NC USA</t>
  </si>
  <si>
    <t>Deakin University; National Oceanic Atmospheric Admin (NOAA) - USA; University of California System; University of California San Diego; Scripps Institution of Oceanography; Duke University</t>
  </si>
  <si>
    <t>Deakin Univ, Whale Ecol Grp So Ocean, Sch Ecol &amp; Environm, Warrnambool, Vic, Australia.</t>
  </si>
  <si>
    <t>dthiele@deakin.edu.au</t>
  </si>
  <si>
    <t>Hildebrand, John A/ABA-6213-2022; Moore, Sue E/M-2103-2018</t>
  </si>
  <si>
    <t>Hildebrand, John A/0000-0002-5418-9799; Sirovic, Ana/0000-0001-5097-1268</t>
  </si>
  <si>
    <t>10.1016/j.dsr2.2004.07.007</t>
  </si>
  <si>
    <t>WOS:000226045100022</t>
  </si>
  <si>
    <t>Sirovic, A; Hildebrand, JA; Wiggins, SM; McDonald, MA; Moore, SE; Thiele, D</t>
  </si>
  <si>
    <t>Seasonality of blue and fin whale calls and the influence of sea lee in the Western Antarctic Peninsula</t>
  </si>
  <si>
    <t>EASTERN TROPICAL PACIFIC; BALAENOPTERA-MUSCULUS; NORTH PACIFIC; HUMPBACK WHALES; MARINE BIRDS; ICE EXTENT; CALIFORNIA; SOUNDS; MIGRATION; MAMMALS</t>
  </si>
  <si>
    <t>The calling seasonality of blue (Balaenoptera musculus) and fin (B. physalus) whales was assessed using acoustic data recorded on seven autonomous acoustic recording packages (ARPs) deployed from March 2001 to February 2003 in the Western Antarctic Peninsula. Automatic detection and acoustic power analysis methods were used for determining presence and absence of whale calls. Blue whale calls were detected year round, on average 177 days per year, with peak calling in March and April, and a secondary peak in October and November. Lowest calling rates occurred between June and September, and in December. Fin whale calling rates were seasonal with calls detected between February and June (on average 51 days/year), and peak calling in May. Sea ice formed a month later and retreated a month earlier in 2001 than in 2002 over all recording sites. During the entire deployment period, detected calls of both species of whales showed negative correlation with sea ice concentrations at all sites, suggesting an absence of blue and fin whales in areas covered with sea ice. A conservative density estimate of calling whales from the acoustic data yields 0.43 calling blue whales per 1000 n mi(2) and 1.30 calling fin whales per 1000 n mi(2), which is about one-third higher than the density of blue whales and approximately equal to the density of fin whales estimated from the visual surveys. (C) 2004 Elsevier Ltd. All rights reserved.</t>
  </si>
  <si>
    <t>Univ Calif San Diego, Scripps Inst Oceanog, La Jolla, CA 92093 USA; Whale Acoust, Bellvue, CO USA; NOAA AFSC Natl Marine Mammal Lab, Seattle, WA USA; Deakin Univ, Sch Ecol &amp; Environm, Warrnambool, Vic, Australia</t>
  </si>
  <si>
    <t>University of California System; University of California San Diego; Scripps Institution of Oceanography; National Oceanic Atmospheric Admin (NOAA) - USA; Deakin University</t>
  </si>
  <si>
    <t>Univ Calif San Diego, Scripps Inst Oceanog, La Jolla, CA 92093 USA.</t>
  </si>
  <si>
    <t>ana@mpl.ucsd.edu</t>
  </si>
  <si>
    <t>10.1016/j.dsr2.2004.08.005</t>
  </si>
  <si>
    <t>WOS:000226045100023</t>
  </si>
  <si>
    <t>Leth, O; Shaffer, G; Ulloa, O</t>
  </si>
  <si>
    <t>Hydrography of the eastern South Pacific Ocean: results from the Sonne 102 cruise, May-June 1995</t>
  </si>
  <si>
    <t>WIND-DRIVEN CIRCULATION; SHALLOW SALINITY MINIMA; 43 DEGREES S; SCORPIO EXPEDITION; WATER COLUMN; MASS; VARIABILITY; VENTILATION; SECTIONS</t>
  </si>
  <si>
    <t>Full-depth conductivity-temperature-depth/hydrographic measurements were taken in May June 1995 along 28degrees15', 35degrees15', and 43degrees15'S from the Chilean coast to 86-88degreesW from the R.V. Sonne. Sections of potential temperature, salinity, neutral density, and oxygen are presented to illustrate the water-column structure in this sparsely sampled region. A more comprehensive database on all available hydrographic data from the region was compiled. These data and available meteorological data are used to help in the interpretation of the Sonne results. A number of important features found in the sections are discussed, including a shallow salinity minimum (apparently ventilated from south of similar to37degreesS), salt fingering as a possible mechanism to transport high-salinity subtropical water into the shallow salinity minimum, Equatorial Subsurface Water, Subantarctic Mode Water, and Antarctic Intermediate Water. Geostrophic calculations of alongshore flow show the poleward Peru-Chile Undercurrent at each of the three sections with a poleward descending core and peak velocities of similar to10 cm s(-1). As in earlier works, a deep Pacific outflow is found near the Chilean coast, part of a clockwise deep circulation in the Chile Basin. (C) 2004 Elsevier Ltd. All rights reserved.</t>
  </si>
  <si>
    <t>Univ Concepcion, PROFC, Concepcion, Chile; Univ Concepcion, FONDAP, Ctr Invest Oceanog Pacifico SurOriental, Concepcion, Chile; Univ Copenhagen, Danish Ctr Earth Syst Sci, Dept Geophys, DK-2100 Copenhagen O, Denmark; Univ Concepcion, Dept Oceanog, Concepcion, Chile</t>
  </si>
  <si>
    <t>Universidad de Concepcion; Universidad de Concepcion; University of Copenhagen; Universidad de Concepcion</t>
  </si>
  <si>
    <t>Univ Concepcion, PROFC, Casilla 160-C, Concepcion, Chile.</t>
  </si>
  <si>
    <t>okl@profc.udec.cl</t>
  </si>
  <si>
    <t>Shaffer, Gary/G-1742-2016; Ulloa, Osvaldo/E-1821-2011</t>
  </si>
  <si>
    <t>Shaffer, Gary/0000-0002-2494-3471; Ulloa, Osvaldo/0000-0002-9501-5576</t>
  </si>
  <si>
    <t>20-21</t>
  </si>
  <si>
    <t>10.1016/j.dsr2.2004.08.009</t>
  </si>
  <si>
    <t>884AK</t>
  </si>
  <si>
    <t>WOS:000226056800002</t>
  </si>
  <si>
    <t>Turner, DR; Bertilsson, S; Fransson, A; Pakhomov, E</t>
  </si>
  <si>
    <t>The SWEDARP 1997/98 marine expedition: overview</t>
  </si>
  <si>
    <t>ANTARCTIC CIRCUMPOLAR CURRENT; AUSTRAL SUMMER 1993; SOUTHERN-OCEAN; ATLANTIC SECTOR; ZOOPLANKTON STRUCTURE; WATER MASSES; TRACE-METALS; WEDDELL SEA; ICE-EDGE; PART 2</t>
  </si>
  <si>
    <t>The SWEDARP 1997/98 expedition aboard the S.A. Agulhas focused on three study areas along the 6degreesE meridian: 60degreesS, the location of the spring ice edge; 56degreesS, the location of the winter ice edge; and 50.5degreesS, the Antarctic Polar Front. This intensive study was preceded by a north-south transect through the area measuring surface water properties while under way. An extensive measurement programme included hydrography, tracers, nutrients, organic carbon, trace metals, bacteria, and primary and secondary producers (including production and grazing rates). Analysis of the results from the three study areas does not identify a single factor limiting primary production: water column stability and the optical regime, and probably iron supply contributed to the control of primary production. The study area acted as a sink for atmospheric CO2 at the time of measurement, while analysis of water column carbon inventories indicated a net CO2 source integrated over the spring season. (C) 2004 Elsevier Ltd. All rights reserved.</t>
  </si>
  <si>
    <t>Univ Gothenburg, Dept Chem Analyt &amp; Marine Chem, SE-41296 Gothenburg, Sweden; Univ Uppsala, Dept Evolutionary Biol Lab, SE-75236 Uppsala, Sweden; Natl Inst Environm Studies, Climate Change Res Project, Tsukuba, Ibaraki 3058506, Japan; Univ British Columbia, Dept Earth &amp; Ocean Sci, Vancouver, BC V6T 1Z4, Canada; Univ Ft Hare, Fac Sci &amp; Technol, Dept Zool, ZA-5700 Alice, South Africa</t>
  </si>
  <si>
    <t>University of Gothenburg; Uppsala University; National Institute for Environmental Studies - Japan; University of British Columbia; University of Fort Hare</t>
  </si>
  <si>
    <t>Univ Gothenburg, Dept Chem Analyt &amp; Marine Chem, SE-41296 Gothenburg, Sweden.</t>
  </si>
  <si>
    <t>davidt@chem.gu.es</t>
  </si>
  <si>
    <t>Turner, David R/A-7870-2010</t>
  </si>
  <si>
    <t>Turner, David R/0000-0002-2891-2664</t>
  </si>
  <si>
    <t>22-24</t>
  </si>
  <si>
    <t>10.1016/j.dsr2.2003.08.006</t>
  </si>
  <si>
    <t>884AL</t>
  </si>
  <si>
    <t>WOS:000226056900001</t>
  </si>
  <si>
    <t>Granéli, W; Carlsson, P; Bertilsson, S</t>
  </si>
  <si>
    <t>Bacterial abundance, production and organic carbon limitation in the Southern Ocean (39-62°S, 4-14°E) during the austral summer 1997/1998</t>
  </si>
  <si>
    <t>SUB-ARCTIC PACIFIC; WEDDELL SEA; BACTERIOPLANKTON PRODUCTION; NUTRIENT LIMITATION; SEASONAL-CHANGES; MARINE-BACTERIA; SARGASSO-SEA; GROWTH; ANTARCTICA; PHYTOPLANKTON</t>
  </si>
  <si>
    <t>Bacterial abundance and production were studied in different zones in the Southern Ocean (39-62degreesS, 4-14degreesE) during a cruise in December-January 1997/1998. The role of potential growth limitation of bacteria due to limited availability of organic carbon (glucose) or inorganic N and P was studied in parallel. A positive correlation between surface water temperatures (-2 to 18 degreesC) and bacterial abundance (&lt; 0. 1 X 10(6)-1.5 x 10(6) cells ml(-1)) was observed. Bacteria were studied in vertical profiles, concentrated to three areas close to 6degreesE: the former Spring Ice Edge (SIE, 60degreesS, high chlorophyll a), the former Winter Ice Edge (WIE, 56degreesS, low chlorophyll a) and the Antarctic Polar Front at 51degreesS (APF, moderate chlorophyll a levels). Bacterial abundance was uniformly low south of the APF, and for the upper 50 m generally below 0.3 x 10(6) bacterial ml(-1). In deeper water, bacterial abundance decreased dramatically for WIE and APF stations, but less markedly for SIE stations. The average volumetric bacterial production in the mixed layer was highest for APF stations (0.04 mug Cl-1 h(-1)), but only half of this value for SIE stations (0.02 mug Cl-1 h(-1)), with WIE in between (approximately 0.03 mug Cl-1 h(-1)). Below 100 m, bacterial production decreased to values close to the detection limit. None of the three areas demonstrated any systematic diurnal variations in bacterial production in surface water (2 m) or at the chlorophyll maximum (situated between 30 and 66 m). We observed a positive correlation between bacterial production and in vivo chlorophyll a fluorescence, but there was no correlation between this parameter and bacterial abundance, possibly indicating different control mechanisms for these two parameters. Unfiltered water samples from 20 m depth were incubated at in situ temperatures and amended with ammonium, phosphate or glucose. In all the three experiments, from warm waters (relatively poor in inorganic nitrogen and phosphorus) south of Cape Town (38degreesS, + 18.6 degreesC), in the colder and inorganic nutrient-rich waters north of the APF (45degreesS, + 7.0 degreesC) as well as in the cold, nutrient-rich waters at the SIE (61 degreesS, -0.13 degreesC), organic carbon additions resulted in a significant increase in bacterial production. Bacterial growth rates were very different between the three regions, and the growth response in the bacterial communities to the carbon additions was very slow at low temperatures. (C) 2004 Elsevier Ltd. All rights reserved.</t>
  </si>
  <si>
    <t>Dept Ecol, SE-22362 Lund, Sweden; Kalmar Univ, Dept Marine Sci, SE-39129 Kalmar, Sweden; Linkoping Univ, Dept Water &amp; Environm Studies, SE-58183 Linkoping, Sweden</t>
  </si>
  <si>
    <t>Linnaeus University; University of Kalmar; Linkoping University</t>
  </si>
  <si>
    <t>Granéli, W (corresponding author), Dept Ecol, Ecol Bldg, SE-22362 Lund, Sweden.</t>
  </si>
  <si>
    <t>wilhelm.graneli@limnol.lu.se</t>
  </si>
  <si>
    <t>10.1016/j.dsr2.2001.01.003</t>
  </si>
  <si>
    <t>WOS:000226056900003</t>
  </si>
  <si>
    <t>Pakhomov, EA; Froneman, PW</t>
  </si>
  <si>
    <t>Zooplankton dynamics in the eastern Atlantic sector of the Southern Ocean during the austral summer 1997/1998 - Part 1: Community structure</t>
  </si>
  <si>
    <t>MARGINAL ICE-ZONE; BELLINGSHAUSEN SEA; METAZOAN PLANKTON; EUPHAUSIA-SUPERBA; GRAZING IMPACT; WEDDELL SEA; PHYTOPLANKTON; ANTARCTICA; GEORGIA; BIOMASS</t>
  </si>
  <si>
    <t>Zooplankton abundance, biomass and community structure in the top 300m layer were studied along the 6degreesE meridian between 49 and 65degreesS during a Scandinavian/South African Joint Global Ocean Flux Study (December 1997-January 1998) onboard the S.A. Agulhas. Along the transect, total abundance and biomass of zooplankton ranged from 8 to 384 ind m(-3) and 1.4 to 64.1 mg DW m(-3), respectively. The general pattern in zooplankton distribution observed was an increase in density between Spring Ice Edge and the Antarctic Polar Front (APF) regions. Copepods numerically dominated zooplankton along the entire transect accounting for 68-97% of the total abundance and 24-90% of the total zooplankton standing stock. Other important contributors to total biomass, particularly within the Winter Ice Edge (WIE) and APF regions, were cnidarians and ctenophores (up to 50%), pteropods (up to 35%), tunicates (up to 30%), chaetognaths (up to 25%) and euphausiids (up to 23%). Numerical analyses identified three major zooplankton groupings, coinciding with the three regions of investigation. A dramatic change in the zooplankton composition occurred at the APF region as several copepod and euphausiid species were found on either side of the front only. A second change in the species composition was observed at the WIE, emphasizing the ecological importance of the frontal zone associated with the winter ice edge. (C) 2004 Elsevier Ltd. All rights reserved.</t>
  </si>
  <si>
    <t>Rhodes Univ, Dept Zool &amp; Entomol, So Ocean Grp, ZA-6140 Grahamstown, South Africa</t>
  </si>
  <si>
    <t>Rhodes University</t>
  </si>
  <si>
    <t>Froneman, William/GLS-0460-2022; Froneman, William/C-9085-2012</t>
  </si>
  <si>
    <t>Froneman, William/0000-0003-0615-1355;</t>
  </si>
  <si>
    <t>10.1016/j.dsr2.2000.11.001</t>
  </si>
  <si>
    <t>WOS:000226056900005</t>
  </si>
  <si>
    <t>Zooplankton dynamics in the eastern Atlantic sector of the Southern Ocean during the austral summer 1997/1998 - Part 2: Grazing impact</t>
  </si>
  <si>
    <t>MARGINAL ICE-ZONE; PIGMENT DESTRUCTION; VERTICAL MIGRATION; EUPHAUSIA-SUPERBA; POLAR FRONT; GUT PIGMENT; PHYTOPLANKTON; COMMUNITY; GEORGIA; COPEPOD</t>
  </si>
  <si>
    <t>Zooplankton grazing impact using the gut fluorescence technique was investigated in the top 200 m water layer along the 6degreesE meridian between 49degrees50' and 60degrees25'S at six Biostations during a Scandinavian/South African Joint Global Ocean Flux Study (December 1997-January 1998) on board the SA Agulhas. Copepods were found to be the most conspicuous grazers along the entire transect, generally accounting for approximate to 40% of total zooplankton grazing. Pelagic pteropods, Limacina helicina and Clio sulcata, were the second most important grazers within the Seasonal Ice Edge (SIE) region, while the tunicate Salpa thompsoni and euphausiids, mainly Euphausia superba and E. frigida, were the second and third most important consumers of the phytoplankton production within the Winter Ice Edge (WIE) and Antarctic Polar Front (APF) regions. The overall ingestion rates of the zooplankton community ranged from 24 to 277mg Cm-2 day(-1). The lowest and highest ingestion rates were recorded within the SIE and APF regions. The zooplankton grazing impact was low within the SIE region accounting for &lt; 10% of daily primary production. The highest phytoplankton consumption rate (56% of daily primary production) was observed in the WIE region, while the APF region was characterized by modest (23-33%) grazing impact of zooplankton. (C) 2004 Elsevier Ltd. All rights reserved.</t>
  </si>
  <si>
    <t>Rhodes Univ, Dept Zool &amp; Entomol, So Ocean Grp, ZA-6140 Grahamstown, South Africa; Univ Ft Hare, Fac Sci &amp; Technol, Dept Zool, ZA-5700 Alice, South Africa</t>
  </si>
  <si>
    <t>Rhodes University; University of Fort Hare</t>
  </si>
  <si>
    <t>Univ British Columbia, Dept Earth &amp; Ocean Sci, 6339 Stores Rd, Vancouver, BC V6T 1Z4, Canada.</t>
  </si>
  <si>
    <t>10.1016/j.dsr2.2000.11.002</t>
  </si>
  <si>
    <t>WOS:000226056900006</t>
  </si>
  <si>
    <t>Froneman, PW</t>
  </si>
  <si>
    <t>Protozooplankton community structure and grazing impact in the eastern Atlantic sector of the Southern Ocean in austral summer 1998</t>
  </si>
  <si>
    <t>MARGINAL ICE-ZONE; WEDDELL SEA; PHYTOPLANKTON PRODUCTION; BIOGENIC CARBON; MICROZOOPLANKTON; BIOMASS; WATERS; GROWTH; PICOPLANKTON; ABUNDANCE</t>
  </si>
  <si>
    <t>The protozooplankton community structure and grazing impact within the winter ice-edge zone (WIE), spring ice-edge zone (SIE) and in the vicinity of the Antarctic Polar Front (APF) in the eastern Atlantic sector of the Southern Ocean was investigated in austral summer (December 97-January 98). Total chlorophyll-a (Chl-a) concentrations in the vicinity of the SIZ and APF were always &gt;0.5 mug l while at stations within the SIE total pigment concentrations were always &lt;0.3 mug l(-1). Protozooplankton communities throughout the investigation were dominated by nanoflagellates with densities varying between 2050 and 2750 ind. l(-1) in the SIE, between 2525 and 3100 ind. l(-1) in the WIE and between 2750 and 3350 ind. l(-1) in the region of the APF. The &gt;20 mum fraction was always dominated by ciliates comprising aloricates and tintinnids and dinoflagellates. The contribution of the larger components to the total was, however, always &lt;40% of the total. Protozooplankton biomass estimated from biovolume:carbon ratios ranged from 0.4 to 1.5 mug C l(-1). Protozooplankton herbivory throughout the study was highest within the &lt;20 mum chlorophyll fraction. Instantaneous grazing coefficients of protozooplankton within this chlorophyll fraction ranged between 0.04 and 0.28 d(-1) corresponding to a grazing impact equivalent to up to 24% (range 4-24%) of the chlorophyll standing stock. These rates are equivalent to a community ingestion rate of between 0.55 and 1.89 mug C l(-1) or between 13% and 35% of the daily production within the &lt;20 mum Chl-a fraction. Protozooplankton were unable to control the growth of the larger microphytoplankton. The highest impact of the protozooplankton was recorded in the WIE where small phytoplankton cells comprised &gt;60% of total pigment. These results suggest that the grazing impact of the protozooplankton was largely mediated by the contribution of the small phytoplankton cells to total pigment. (C) 2004 Elsevier Ltd. All rights reserved.</t>
  </si>
  <si>
    <t>Rhodes Univ, Dept Zool &amp; Entomol, So Ocean Grp, POB 94, ZA-6140 Grahamstown, South Africa.</t>
  </si>
  <si>
    <t>w.froneman@ru.ac.za</t>
  </si>
  <si>
    <t>10.1016/j.dsr2.2004.09.001</t>
  </si>
  <si>
    <t>WOS:000226056900007</t>
  </si>
  <si>
    <t>Pakhomov, EA</t>
  </si>
  <si>
    <t>Salp/krill interactions in the eastern Atlantic sector of the Southern Ocean</t>
  </si>
  <si>
    <t>KRILL EUPHAUSIA-SUPERBA; MARGINAL ICE-ZONE; ANTARCTIC KRILL; SALPA-THOMPSONI; AUSTRAL SUMMER; SEA-ICE; COMMUNITY STRUCTURE; ELEPHANT-ISLAND; BIOGENIC CARBON; GRAZING IMPACT</t>
  </si>
  <si>
    <t>Spatial distribution and feeding ecophysiology of the Antarctic krill, Euphausia superba, and the tunicate, Salpa thompsoni, were investigated along the 6degreesE meridian between 49 and 65degreesS. Krill and salps displayed pronounced spatial segregation along the transect. Salps clearly dominated north of the 56degreesS parallel, while krill dominated south of it. Overlap in krill/salp distribution occurred only at approximate to56degreesS. This region coincided with the northernmost expansion of the subsurface cold water layer and with the Winter Ice Edge (WIE) region suggesting a clear biotopical separation of these key-stone species in the Antarctic pelagic food web. Krill and salp grazing rates determined using the in situ gut fluorescence technique were low (&lt;1% of daily primary production) to moderate (&lt;25%) in the areas south and north of the WIE region. However, in the region of their overlap, krill and salps alone consumed up to 86% of daily primary production. Assuming that all faecal pellets produced sink, krill and salp would be able to re-package and remove from surface layers &lt;2%, up to 37% and 3-12% of primary production per day in the regions south, within and north of the WIE, respectively. In real terms, krill/salp mediated in situ carbon flux range from 0.01 to 3.7 and from 9.6 to 23.8 mg C m(-2)d(-1) south and north of the WIE region, respectively, and would be as high as 48 mg C m(-2)d(-1) in the WIE region. (C) 2004 Elsevier Ltd. All rights reserved.</t>
  </si>
  <si>
    <t>10.1016/j.dsr2.2001.03.001</t>
  </si>
  <si>
    <t>WOS:000226056900008</t>
  </si>
  <si>
    <t>Tanhua, T; Olsson, KA; Fogelqvist, E</t>
  </si>
  <si>
    <t>A first study of SF6 as a transient tracer in the Southern Ocean</t>
  </si>
  <si>
    <t>SEA GAS-EXCHANGE; CARBON-TETRACHLORIDE; SULFUR-HEXAFLUORIDE; WEDDELL SEA; WATER; SOLUBILITY; DEEP; CHLOROFLUOROMETHANES; CHLOROFLUOROCARBONS; HALOCARBONS</t>
  </si>
  <si>
    <t>Halogenated transient tracers such as the chlorofluorocarbons CFC-11, CFC-12 and CFC-1 13 are commonly used in oceanographic studies. These compounds enter the ocean via the atmosphere and their triansient atmospheric concentrations make them valuable as oceanic tracers. The trends of rapidly rising atmospheric concentrations of these tracers are however broken, and the oceanic signal becomes increasingly more difficult to decipher. There is a need for a new transient tracer to complement the existing suit of tracers, especially for recently ventilated water masses. One compound that looks promising in this respect is sulphur hexafluoride (SF6), an inert gas whose atmospheric concentration is rising rapidly. In this paper, the use of SF6 as a transient tracer in recently ventilated waters is discussed and the method for determination of SF6 in seawater is described. Tracer data from a section in the Atlantic sector of the Southern Ocean along 6degreesE, from 60degreesS to 40degreesS, occupied during January 1998, are presented. The Antarctic Polar Front, found close to 50degreesS, was studied with a densely sampled section down to 400 m depth and SF6/CFC-12 ratios are used to deduce ventilation ages and dilution factors. A comparison of apparent ages derived from a variety of tracers is presented together with the uncertainties in these estimates. This work demonstrates that SF6 is a useful and valuable transient tracer for waters ventilated during the last 20 years. (C) 2004 Elsevier Ltd. All rights reserved.</t>
  </si>
  <si>
    <t>Univ Gothenburg, Dept Chem Analyt &amp; Marine Chem, SE-41296 Gothenburg, Sweden</t>
  </si>
  <si>
    <t>University of Gothenburg</t>
  </si>
  <si>
    <t>Leibniz Inst Meereswissensch, Dusternbrooker Weg 20, D-24105 Kiel, Germany.</t>
  </si>
  <si>
    <t>ttanhua@ifm.uni-kiel.de</t>
  </si>
  <si>
    <t>Tanhua, Toste/HLX-5402-2023; Olsson, K. Anders/B-3982-2008</t>
  </si>
  <si>
    <t>10.1016/j.dsr2.2001.02.001</t>
  </si>
  <si>
    <t>WOS:000226056900011</t>
  </si>
  <si>
    <t>Wulff, A; Wängberg, SA</t>
  </si>
  <si>
    <t>Spatial and vertical distribution of phytoplankton pigments in the eastern Atlantic sector of the Southern Ocean</t>
  </si>
  <si>
    <t>BELLINGSHAUSEN SEA; WATER MASSES; BIOMASS; HPLC; CHEMTAX; LIGHT; COMMUNITY; ABUNDANCE; PROGRAM; MARKERS</t>
  </si>
  <si>
    <t>The spatial and vertical distribution of phytoplankton pigments was analysed during the Scandinavian/South African Southern Ocean JGOFS expedition of the S.A. Agulhas from 31 December 1997 to 26 January 1998. In total, seawater from 12 different stations along a transect at 6degreesE from 60.38 to 49.82degreesS were sampled at water depths of approximately 2, 10, 20, 30, 50, 75 and 100 m. Pigment concentrations were analysed using high-performance liquid chromatography. The highest chlorophyll a (chl a) concentrations were found within the Spring Ice Edge (SIE) at water depths of 2-30 m (1.5-2.0 mug l(-1)). The lowest phytoplankton biomass (chl a) was found within the Winter Ice Edge (WIE) with typical values around 0.3 mug l(-1). While the chl a concentrations decreased with depth within the SIE, no apparent difference between depths was found within WIE. The same trend with similar chl a concentrations (0.8-1.2 mug l(-1)) at all depths was found for the northernmost part of the Antarctic Polar Front (APF) except for samples from 100 m. Principal component analysis (PCA) and the matrix factorisation program, CHEMTAX, were used to interpret the pigment data. The PCA indicated small differences between the samples in WIE and APF, while the SIE samples were separated into three groups. At the southernmost stations a clear separation was found between surface samples and deeper samples; this was not seen at the two northernmost stations within SIE. Along the whole transect, CHEMTAX suggested a dominance of diatoms and haptophytes. In general, the haptophytes contributed more to total chl a further south and the diatom contribution increased from south to north. Within WIE, CHEMTAX indicated that cyanobacteria were contributing approximately 3% to the total autotrophic biomass. In APF, a more diverse phytoplankton community was found compared with WIE and SIE. The pigment patterns interpreted by CHEMTAX showed that different phytoplankton assemblages were associated with distinct water masses along the transect. (C) 2004 Elsevier Ltd. All rights reserved.</t>
  </si>
  <si>
    <t>Univ Gothenburg, Dept Marine Ecol, SE-40530 Gothenburg, Sweden; Univ Gothenburg, Inst Bot, SE-40530 Gothenburg, Sweden</t>
  </si>
  <si>
    <t>University of Gothenburg; University of Gothenburg</t>
  </si>
  <si>
    <t>Wulff, A (corresponding author), Univ Gothenburg, Dept Marine Ecol, Bo 461, SE-40530 Gothenburg, Sweden.</t>
  </si>
  <si>
    <t>angela.wulff@marbot.gu.se</t>
  </si>
  <si>
    <t>10.1016/j.dsr2.2001.01.002</t>
  </si>
  <si>
    <t>WOS:000226056900012</t>
  </si>
  <si>
    <t>Froneman, PW; Pakhomov, EA; Balarin, MG</t>
  </si>
  <si>
    <t>Size-fractionated phytoplankton biomass, production and biogenic carbon flux in the eastern Atlantic sector of the Southern Ocean in late austral summer 1997-1998</t>
  </si>
  <si>
    <t>BELLINGSHAUSEN SEA; ANTARCTIC PHYTOPLANKTON; SUBTROPICAL CONVERGENCE; WEDDELL SEA; FOOD WEBS; ROSS SEA; ICE; VARIABILITY; DIOXIDE; BLOOMS</t>
  </si>
  <si>
    <t>Size-fractionated chlorophyll-a (Chl-a), primary production and biogenic carbon flux in the vicinity of the Winter Ice-edge Zone (WIE), Spring Ice-edge Zone (SIE) and Antarctic Polar Front (APF) were investigated in the eastern Atlantic sector of the Southern Ocean during a collaborative Scandinavian/South African Antarctic cruise conducted in late austral summer (December 1997/January 1998). Microphytoplankton (&gt;20 mum) dominated integrated Chl-a biomass in the SIE and at the APF, comprising &gt;50% of the total at all stations. Within the WIE, nanophytoplankton (2 20 mum) dominated total integrated Chl-a biomass comprising on average 36% of the total. Total integrated primary production ranged between 316 and 729 mg C m(-2) d(-1) at stations occupied in the region of the SIE, and between 292 and 317 mg C m(-2) d(-1) within the WIE. At stations occupied in the region of the APF, total integrated production ranged between 708 and 926 mg C m(-2) d(-1). The contribution of various size fractions to total productivity generally displayed the same pattern as integrated Chl-a biomass. Microphytoplankton formed the most important contributor to total production at all stations in the SIE and at two stations in the region of the APE Within the WIE, nanophytoplankton dominated total daily production. The elevated primary production rates in the region of the SIE and APF appear to be related to favourable light environment and the availability of iron. In the SIE, the partitioning of carbon between the microbial loop and classical food web was similar. Grazing activity by metazoans resulted in 1.5% of total daily production being transported to depth. In the region of the WIE and APF, the classical food web represented the main sink for daily primary production. Within the SIE and APF, the grazer-mediated carbon flux corresponded to 8.4% and 15.4% of the total production, respectively. The low rates of biologically mediated carbon flux resulting from grazing by zooplankton in the SIE can be related to the size structure of the phytoplankton assemblages and the absence of larger macrozooplankton in the region. As a consequence of the low grazing activity, the sinking of dead/senescent phytoplankton cells appears to be the major route for the transfer of carbon from the surface waters to depth in the SIE. Results of the investigation suggest that the efficiency of the biological pump in the three regions of investigation was largely determined by the zooplankton community composition and the structure of the local phytoplankton community. (C) 2004 Elsevier Ltd. All rights reserved.</t>
  </si>
  <si>
    <t>Rhodes Univ, Dept Zool &amp; Entomol, So Ocean Grp, ZA-6140 Grahamstown, South Africa; Univ Ft Hare, Fac Sci &amp; Technol, Dept Zool, ZA-5700 Alice, South Africa; Sea Fisheries Res Inst, ZA-7700 Cape Town, South Africa</t>
  </si>
  <si>
    <t>Froneman, PW (corresponding author), Rhodes Univ, Dept Zool &amp; Entomol, So Ocean Grp, POB 94, ZA-6140 Grahamstown, South Africa.</t>
  </si>
  <si>
    <t>10.1016/j.dsr2.2002.09.001</t>
  </si>
  <si>
    <t>WOS:000226056900013</t>
  </si>
  <si>
    <t>Wängberg, SA; Wulff, A</t>
  </si>
  <si>
    <t>Impact of ultraviolet-B radiation on the development of phytoplankton communities in the eastern Atlantic sector of the Southern Ocean -: results from on-deck model ecosystem experiments</t>
  </si>
  <si>
    <t>DISSOLVED ORGANIC-MATTER; UVB-RADIATION; CHEMTAX; PROGRAM; DIATOMS; OZONE; LEVEL</t>
  </si>
  <si>
    <t>Two model ecosystem experiments to assess the effects of UVB radiation (UVBR, 280-320 nm) on phytoplankton communities were performed on-deck during the SWEDARP 97/98 expedition to the eastern Atlantic sector of the Southern Ocean in January 1998. The first experiment was run in the Spring Ice Edge, around 60degreesS, and the second at the Antarctic Polar Front, around 50degreesS. The duration of the experiments were 12 and 10 days, respectively. Ambient UVBR was modified to three levels (i.e. treatments): NoUVB-shielded from UVBR (mylar foil); AMB-ambient UVBR; UVB+--enhanced UVBR. The development of the phytoplankton communities was followed by measuring primary production and composition of pigments and diatom species. At the start of the first experiment UVB+ had lower primary production per volume, but not when normalised to chlorophyll a. At the end there were no differences between treatments in primary production per volume but there were differences when normalised to chlorophyll a. In addition, a significant increase in the stimulation of primary production for UVB+ when excluding UVBR and in chlorophyll a concentration was found. These changes, together with changes in species composition, are assumed to be the result of an adaptation to the enhanced UVBR. During the second experiment, the effects from changes in UVBR were generally smaller but resembled to some extent the first experiment. The chlorophyll a concentration increased significantly in the UVB+ treatment at the end of the experiment and there was a strong tendency towards a reduction in primary production per chlorophyll a, but not per volume. The results are important when estimating the effects of increased UVBR as they show variability in short-term sensitivity, and also the capacity of phytoplankton communities to adapt to UVBR and retain primary production even in enhanced UVBR. (C) 2004 Elsevier Ltd. All rights reserved.</t>
  </si>
  <si>
    <t>Univ Gothenburg, Inst Bot, SE-40530 Gothenburg, Sweden; Univ Gothenburg, Dept Marine Ecol, SE-40530 Gothenburg, Sweden</t>
  </si>
  <si>
    <t>swa@botany.gu.se</t>
  </si>
  <si>
    <t>10.1016/j.dsr2.2001.05.001</t>
  </si>
  <si>
    <t>WOS:000226056900014</t>
  </si>
  <si>
    <t>Abrahamsson, K; Bertilsson, S; Chierici, M; Fransson, A; Froneman, PW; Lorén, A; Pakhomov, EA</t>
  </si>
  <si>
    <t>Variations of biochemical parameters along a transect in the Southern Ocean, with special emphasis on volatile halogenated organic compounds</t>
  </si>
  <si>
    <t>SURFACE DISTRIBUTION; ATLANTIC SECTOR; SEA; MARINE; WATER; PHYTOPLANKTON; HYDROCARBONS; ABUNDANCE; SEDIMENT; PLANKTON</t>
  </si>
  <si>
    <t>A number of parameters of biogeochemical interest were monitored along a north-southerly transect (S 43-S 63degrees) in the Atlantic Sector of the Southern Ocean from the 8th to the 20th of December 1997. Changes in total dissolved inorganic carbon (C-T) and total alkalinity (A(T)) were mostly dependent on temperature and salinity until the ice edge was reached. After this point only a weak correlation was seen between these. Highest mean values of C-T and A(T) were observed in the Winter Ice Edge (WIE) (2195 and 2319 mumol kg(-1), respectively). Lowest mean AT (2277 mumol kg(-1)) was observed in the Sub-Antarctic Front (SAF), whereas lowest mean CT concentration (2068 mumol kg(-1)) was associated with the Sub-Tropical Front (STF). The pH in situ varied between 8.060 and 8.156 where the highest values were observed in the southern part of the Antarctic Polar Front (APF) and in the Summer Ice Edge (SIE) Region. These peaks were associated with areas of high chlorophyll a (chl a) and tribromomethane values. In the other areas the pH in situ was mainly dependent on hydrography. Bacterial abundance decreased more than one order of magnitude when going from north to south. The decrease appeared to be strongly related to water temperature and there were no elevated abundances at frontal zones. Microphytoplankton dominated in the SAF and APF, whereas the nano- and picoplankton dominated outside these regions. Volatile halogenated compounds were found to vary both with regions, and with daylight. For the iodinated compounds, the highest concentrations were found north of the STF. Brominated hydrocarbons had high concentrations in the STF, but elevated concentrations were also found in the APF and SIE regions. No obvious correlation could be found between the occurrence of individual halocarbons and chl a. On some occasions trichloroethene and tribromomethane related to the presence of nano- and microplankton, respectively. (C) 2004 Elsevier Ltd. All rights reserved.</t>
  </si>
  <si>
    <t>Chalmers Univ Technol, Dept Analyt &amp; Marine Chem, SE-41296 Gothenburg, Sweden; Univ Gothenburg, SE-41296 Gothenburg, Sweden; MIT, Dept Civil &amp; Environm Engn, Cambridge, MA 02139 USA; Rhodes Univ, Dept Zool, So Ocean Grp, ZA-6140 Grahamstown, South Africa</t>
  </si>
  <si>
    <t>Chalmers University of Technology; University of Gothenburg; Massachusetts Institute of Technology (MIT); Rhodes University</t>
  </si>
  <si>
    <t>Chalmers Univ Technol, Dept Analyt &amp; Marine Chem, SE-41296 Gothenburg, Sweden.</t>
  </si>
  <si>
    <t>katarina@amc.chalmers.se</t>
  </si>
  <si>
    <t>Froneman, William/GLS-0460-2022; Froneman, William/C-9085-2012; Chierici, Melissa/B-1791-2010; Abrahamsson, Katarina/A-7616-2010</t>
  </si>
  <si>
    <t>10.1016/j.dsr2.2004.09.004</t>
  </si>
  <si>
    <t>WOS:000226056900015</t>
  </si>
  <si>
    <t>Fransson, A; Chierici, M; Anderson, LG; David, R</t>
  </si>
  <si>
    <t>Transformation of carbon and oxygen in the surface layer of the eastern Atlantic sector of the Southern Ocean</t>
  </si>
  <si>
    <t>MARGINAL ICE-ZONE; ANTARCTIC CIRCUMPOLAR CURRENT; DISSOLVED INORGANIC CARBON; SEA CO2 EXCHANGE; WEDDELL SEA; DISSOCIATION-CONSTANTS; PRIMARY PRODUCTIVITY; ROSS SEA; BELLINGSHAUSEN SEA; PACIFIC-OCEAN</t>
  </si>
  <si>
    <t>The biogeochemical transformation of carbon, and the exchange of carbon dioxide and oxygen over the sea-air interface were evaluated from measurements of dissolved inorganic carbon, total alkalinity, dissolved oxygen and nitrate in the Atlantic sector of the Southern Ocean. The investigation was carried out. along longitude 6degreesE from December 1997 to January 1998 and was focused on three areas; the Spring Ice Edge (SIE), the Winter Ice Edge (WIE) and the Antarctic Polar Front (APF). The method is based on the assumption that differences between preformed and measured concentration of any property, are attributable to biological processes and sea-air exchange. By correcting the deficit of carbon and excess of oxygen observed in the surface mixed layer for the biological activity, the sea-air exchange of carbon dioxide and oxygen is estimated. In the SIE and the APF, a net release of carbon dioxide to the atmosphere of 0.1 and 0.5 mol m(-2), respectively, was calculated over a time scale of several months (from austral winter to January). In the WIE a net oceanic uptake of carbon dioxide was calculated, with a sea-air exchange of -0.1 mol m(-2). The calculated sea-air exchange of oxygen in the APF indicated an oceanic net release of oxygen to the atmosphere of 1.2 mol m(-2). In the SIE and the WIE the sea-air exchange of oxygen was -0.3 and -1.4 mol m(-2), respectively, from austral winter to January. Averaging the integrated sea-air exchanges indicated that the entire region acted as a weak oceanic source of carbon dioxide, from austral winter to January. The corresponding oxygen sea-air exchange showed a sink. (C) 2004 Elsevier Ltd. All rights reserved.</t>
  </si>
  <si>
    <t>Natl Inst Environm Studies, Climate Change Res Project, Tsukuba, Ibaraki 3058506, Japan; Univ Gothenburg, Dept Chem, SE-41296 Gothenburg, Sweden; CSIR, ZA-4013 Congella, Kwa Zulu Natal, South Africa</t>
  </si>
  <si>
    <t>National Institute for Environmental Studies - Japan; University of Gothenburg; Council for Scientific &amp; Industrial Research (CSIR) - South Africa</t>
  </si>
  <si>
    <t>Fransson, A (corresponding author), Natl Inst Environm Studies, Climate Change Res Project, 16-2 Onogawa, Tsukuba, Ibaraki 3058506, Japan.</t>
  </si>
  <si>
    <t>agneta.fransson@nies.go.jp</t>
  </si>
  <si>
    <t>Chierici, Melissa/B-1791-2010; Anderson, Leif G/D-2263-2009</t>
  </si>
  <si>
    <t>10.1016/j.dsr2.2001.12.001</t>
  </si>
  <si>
    <t>WOS:000226056900016</t>
  </si>
  <si>
    <t>Chierici, M; Fransson, A; Turner, DR; Pakhomov, EA; Froneman, PW</t>
  </si>
  <si>
    <t>Variability in pH, fCO2, oxygen and flux of CO2 in the surface water along a transect in the Atlantic sector of the Southern Ocean</t>
  </si>
  <si>
    <t>M-CRESOL PURPLE; DISSOCIATION-CONSTANTS; CARBON-DIOXIDE; BELLINGSHAUSEN SEA; AUSTRAL SUMMER; WIND-SPEED; SEAWATER; PHYTOPLANKTON; FRONTS; ACID</t>
  </si>
  <si>
    <t>Underway sampling and measurements of pH, fCO(2), oxygen and Chlorophyll a (Chl a) were performed in the surface waters from Cape Town (South Africa) to Queen Maud Land (Antarctica) in the Atlantic sector of the Southern Ocean during the austral summer 1997/1998. From direct measurements of these parameters and from calculated fCO(2) the oceanic carbon dioxide system was studied and related to hydrological and biological parameters. fCO(2) was in general undersaturated relative to the atmosphere and showed a large variability with values ranging from 313 to 377 muatm with a mean value of 346 +/- 13 muatm. The undersaturation was more pronounced in areas associated with fronts where high Chl a and high pH in situ values were observed. Using shipboard wind speed data, estimates of the CO2 flux were made along the transect and during three mesoscale surveys on the northward return transect in the area of the Spring Ice Edge (SIE), the Winter Ice Edge (WIE) and in the Antarctic Polar Front (APF). The undersaturation observed during the transect caused the ocean to act as a sink for CO2 with a mean sea-air flux for the entire transect of -3+/-5 mmol m(-2) d(-1) with a large variability between -20 mmol m(-2) d(-1) (oceanic uptake) to 1.3 mmol m(-2) d(-1) (oceanic source). The lowest fCO(2) values (largest oceanic uptake Of COD were found at the southern boundary of the APF at 53degreesS, which coincided with a supersaturation in oxygen and high pH values. Oxygen concentrations were measured from 50degreesS to 63degreesS and varied between 324 and 359 mumol kg(-1) with a mean value of 347 +/- 9 mumol kg(-1). In general only small deviations from equilibrium oxygen saturation were observed (mean value = 99+/-2%). However, in the SIE oxygen was clearly undersaturated, probably an effect of upwelling of oxygen poor deep water which had not yet been compensated for by biological production. Three weeks later, the ice edge had retreated in the SIE region and the Chl a concentration had increased three-fold, suggesting the start of a phytoplankton bloom. This was also seen in the oxygen concentration which had increased and showed supersaturation. This coincided with an increased oceanic uptake of CO2 in the SIE during the mesoscale survey. (C) 2004 Elsevier Ltd. All rights reserved.</t>
  </si>
  <si>
    <t>Univ Gothenburg, Dept Chem, SE-41296 Gothenburg, Sweden; Rhodes Univ, Dept Zool &amp; Entomol, So Ocean Grp, ZA-6140 Grahamstown, South Africa</t>
  </si>
  <si>
    <t>University of Gothenburg; Rhodes University</t>
  </si>
  <si>
    <t>Chierici, M (corresponding author), Natl Inst Environm Studies, Climate Change Res Project, 16-2 Onogawa, Tsukuba, Ibaraki 3058506, Japan.</t>
  </si>
  <si>
    <t>melissa.chierici@nies.go.jp</t>
  </si>
  <si>
    <t>Turner, David R/A-7870-2010; Froneman, William/C-9085-2012; Chierici, Melissa/B-1791-2010; Froneman, William/GLS-0460-2022</t>
  </si>
  <si>
    <t>Turner, David R/0000-0002-2891-2664; Froneman, William/0000-0003-0615-1355</t>
  </si>
  <si>
    <t>10.1016/j.dsr2.2001.03.002</t>
  </si>
  <si>
    <t>WOS:000226056900017</t>
  </si>
  <si>
    <t>Abrahamsson, K; Lorén, A; Wulff, A; Wängberg, SA</t>
  </si>
  <si>
    <t>Air-sea exchange of halocarbons:: the influence of diurnal and regional variations and distribution of pigments</t>
  </si>
  <si>
    <t>VOLATILE HALOCARBONS; SOUTHERN-OCEAN; ATLANTIC-OCEAN; COASTAL SITE; PHYTOPLANKTON; HYDROCARBONS; METHANES; BROMOCHLOROMETHANES; CHEMISTRY; SEAWATER</t>
  </si>
  <si>
    <t>Diurnal cycles of halocarbons, except methyl bromide and methyl chloride, were observed at six 24-h stations occupied in three different regions, the Summer Ice Edge, the Winter Ice Edge, and the Antarctic Polar Front, in the Atlantic sector of the Southern Ocean during a Swedish-South African expedition in 1997/1998. The diurnal cycles contained three phases; a productive phase, a phase of losses and a phase with steady state. The duration of the different phases varied for the different stations as well as for individual compounds. The measured production and losses of organo-halogens in the Antarctic Ocean based on values from each station, were in the order of a few to hundreds of Tg yr(-1). Bromochloromethane, tribromomethane, trichloroethene and diiodomethane were the four compounds found in highest concentrations throughout the investigation, and they were found to be the major contributors of organohalogens. Only the presence of the photosynthetic pigment 19'-hexanoyloxyfucoxanthin, biomarker pigment of haptophytes, could explain some of the variations in the distribution and production of halocarbons, and then only for iodinated compounds. The flux of organo-halogens from the oceans to the atmosphere was estimated in two ways, either based on calculations according to models or based on the measured concentrations. Large discrepancies were found, which could not be explained by chemical or biological degradation or adsorption to particles. This investigation, therefore, shows the need for assessing the rates of degradation and the air-sea exchange more accurately. (C) 2004 Elsevier Ltd. All rights reserved.</t>
  </si>
  <si>
    <t>Chalmers, Dept Chem &amp; Biosci, SE-41296 Gothenburg, Sweden; Univ Gothenburg, Inst Bot, SE-40530 Gothenburg, Sweden</t>
  </si>
  <si>
    <t>Chalmers University of Technology; University of Gothenburg</t>
  </si>
  <si>
    <t>Chalmers, Dept Chem &amp; Biosci, SE-41296 Gothenburg, Sweden.</t>
  </si>
  <si>
    <t>Abrahamsson, Katarina/A-7616-2010</t>
  </si>
  <si>
    <t>10.1016/j.dsr2.2004.09.005</t>
  </si>
  <si>
    <t>WOS:000226056900018</t>
  </si>
  <si>
    <t>Larsson, AM</t>
  </si>
  <si>
    <t>The role of mixing in an Antarctic ocean ecosystem: observations and model computations of vertical distributions of related parameters</t>
  </si>
  <si>
    <t>PHYTOPLANKTON BIOMASS; SURFACE WATERS; WEDDELL; BLOOMS</t>
  </si>
  <si>
    <t>Observations during the Swedish-South African Antarctic marine expedition, SWEDARP 97/98, from December 1997 to February 1998 along longitude 6degreesE in the Southern Ocean demonstrate geographical differences in vertical distributions of chlorophyll-a and salts in three special study areas between latitude 61degreesS and 40degrees30'S. The aim of this work is to describe the functioning of the Antarctic ecosystem with emphasis on the inter-link between physical, chemical and biological processes in surface waters (0-200 m). Model calculations of fluxes of salts provide possible explanations of measured concentrations of vertical variations regarding salinity, chlorophyll-a and nitrate. The area of investigation is described by vertical mean gradients of salinity, temperature and nitrate for the upper layer (0-400 in) in every special study area together with chlorophyll-a for 0-100 m. The model includes physical processes in terms of vertical mixing and sinking velocity together with biological processes in terms of light-dependent phytoplankton growth, zooplankton grazing and regeneration. The vertical mixing is parameterised as an eddy diffusivity (K-z), assessed from salinity measurements. Both a depth constant K-z and a depth variable K. are used. Model computations for a high K-z (2000-15000 m(2) day(-1)) in the upper layer, rapidly decreasing below 20-50 in and then a low and constant K-z (375-600 m(2) day(-1)) down to 200 in depth supply the best reproduction of measured profiles. A subsurface maximum of chlorophyll-a can be formed only at very low K-z (50 m(2) day(-1)). The irradiance quanta absorption coefficient is used together with the self-absorption of light of 0.06 times the mean chlorophyll-a in the water column. The specific algal gross primary production is calculated according to Steele (Limnol. Oceanogr. 7 (1962) 137). The specific loss rates are varied between 0.15 and 0.30 day(-1) together with a regeneration factor of 0.3. The carbon:chlorophyll ratio ranges from 75 to 150, with the highest ratios in the Antarctic Polar Front area at around 51degreesS, where the integrated chlorophyll-a in the upper 200 m is highest (137 mg m(-2)). The sinking velocity of chlorophyll-a is judged to be 1 m day(-1). The result of this work implies that the vertical mixing is a major limiting factor for the total amount of chlorophyll-a in the surface layer in this part of the Southern Ocean ecosystem on a shorter time scale. Changes of the vertical mixing, for example as an effect of climate change, will induce effects on the functioning of the ecosystem. Tor future oceanographic work in this area a lot of effort should be put into research with emphasis on losses of chlorophyll and an increased knowledge about vertical mixing. (C) 2004 Published by Elsevier Ltd.</t>
  </si>
  <si>
    <t>Univ Gothenburg, Ctr Geosci, SE-40530 Gothenburg, Sweden</t>
  </si>
  <si>
    <t>Univ Gothenburg, Ctr Geosci, Box 460, SE-40530 Gothenburg, Sweden.</t>
  </si>
  <si>
    <t>amla@oce.gu.se</t>
  </si>
  <si>
    <t>Larsson, Anna-Maria/JVY-9758-2024</t>
  </si>
  <si>
    <t>Larsson, Anna-Maria/0000-0002-3957-3266</t>
  </si>
  <si>
    <t>10.1016/j.dsr2.2004.09.006</t>
  </si>
  <si>
    <t>WOS:000226056900019</t>
  </si>
  <si>
    <t>Fransson, A; Chierici, M; Anderson, LG</t>
  </si>
  <si>
    <t>Diurnal variability in the oceanic carbon dioxide system and oxygen in the Southern Ocean surface water</t>
  </si>
  <si>
    <t>DISSOCIATION-CONSTANTS; PH MEASUREMENTS; WIND-SPEED; SEAWATER; SEA; CO2; EXCHANGE; FRONTS; MARINE; IRON</t>
  </si>
  <si>
    <t>During the SWEDARP cruise to the Atlantic sector of the Southern Ocean 1997/1998 six 24-hour stations were occupied in the areas of the Spring Ice Edge (SIE1, SIE2 and SIE3), the Winter Ice Edge (WIE), and the Antarctic Polar Front (APF1 and APF2). Samples were taken at the surface (2 m) every second hour and analyzed for total dissolved inorganic carbon, total alkalinity, pH and dissolved oxygen. By the use of wind speed measurements, calculated fugacity of carbon dioxide, fCO(2), and oxygen concentrations in the surface water, sea-air fluxes of carbon dioxide (CO2) and oxygen were calculated. These fluxes and the diurnal change in the chemical properties are discussed in relation to changes in biological activity. The fluctuations in wind speed showed a larger impact on the variability of the calculated fluxes than the fluctuations in surface water fCO(2) or oxygen saturation. The calculated fluxes and the variability also showed large differences depending on how the wind speed was used, instantaneously or averaged over 24 hours. The calculated sea-air CO2 fluxes using instantaneous wind speed varied between -0.012 and -0.11 mmol m(-2) h(-1) in the SIE1, -0.0073 and -0.30 mmol m(-2) h(-1) in the WIE and -0.043 and -1.65 mmol m(-2) h(-1) in the APF2. The mean values of sea-air CO2 fluxes were calculated to -0.046+/-0.044, -0.10+/-0.094 and -0.52+/-0.64 mmol m(-2) h(-1) for the SIE1, WIE and the APF2, respectively. The mean values of sea-air oxygen fluxes were calculated to 0.072+/-0.073, -0.12+/-0.54 and 1.4+/-1.3 mmol m(-2) h(-1) for the corresponding regions. (C) 2004 Elsevier Ltd. All rights reserved.</t>
  </si>
  <si>
    <t>Univ Gothenburg, Dept Chem, SE-41296 Gothenburg, Sweden</t>
  </si>
  <si>
    <t>10.1016/j.dsr2.2001.01.001</t>
  </si>
  <si>
    <t>WOS:000226056900020</t>
  </si>
  <si>
    <t>Croot, PL; Andersson, K; Öztürk, M; Turner, DR</t>
  </si>
  <si>
    <t>The distribution and speciation of iron along 6°E in the Southern Ocean</t>
  </si>
  <si>
    <t>NATURAL ORGANIC-LIGANDS; OXIDATION-KINETICS; PHYTOPLANKTON BLOOM; FLOW-INJECTION; DISSOLVED IRON; SURFACE WATERS; FE-II; PACIFIC; SEAWATER; COMPLEXATION</t>
  </si>
  <si>
    <t>The distribution and speciation of iron was determined along a transect in the eastern Atlantic sector (6degreesE) of the Southern Ocean during a collaborative Scandinavian/South African Antarctic cruise conducted in late austral summer (December 1997/January 1998). Elevated concentrations of dissolved iron (&gt;0.4 nM) were found at 60degreesS in the vicinity of the Spring Ice Edge (SIE) in tandem with a phytoplankton bloom, chiefly dominated by Phaeocystis sp. This bloom had developed rapidly after the loss of the seasonal sea ice cover. The iron that fuelled this bloom was mostly likely derived from sea ice melt. In the Winter Ice Edge (WIE), around 55degreesS, dissolved iron concentrations were low (&lt;0.2 nM) and corresponded to lower biological productivity, biomass. In the Antarctic Polar Front, at approximately 50degreesS, a vertical profile of dissolved iron showed low concentrations (&lt;0.2 nM); however, a surface survey showed higher concentrations (1-3 nM), and considerable patchiness in this dynamic frontal region. The chemical speciation of iron was dominated by organic complexation throughout the study region. Organic iron-complexing ligands ([L]) ranged from 0.9 to 3.0 nM Fe equivalents, with complex stability log K'(FeL) = 21.4-23.5. Estimated concentrations of inorganic iron (Fe') ranged from 0.03 to 0.79 pM, with the highest values found in the Phaeocystis bloom in the SIE. A vertical profile of iron-complexing ligands in the WIE showed a maximum consistent with a biological source for ligand production and near surface minimum possibly consistent with loss via photodecomposition. This work further confirms the role iron that has in the Southern Ocean in limiting primary productivity. (C) 2004 Elsevier Ltd. All rights reserved.</t>
  </si>
  <si>
    <t>Univ Gothenburg, Dept Chem, SE-41296 Gothenburg, Sweden; Norwegian Univ Sci &amp; Technol, Trondheim Biol Stn, N-7018 Trondheim, Norway</t>
  </si>
  <si>
    <t>University of Gothenburg; Norwegian University of Science &amp; Technology (NTNU)</t>
  </si>
  <si>
    <t>pcroot@ifm-geomar.de</t>
  </si>
  <si>
    <t>Ardelan, Murat V./J-6492-2013; Croot, Peter/U-5296-2019; Turner, David R/A-7870-2010; Croot, Peter/C-8460-2009</t>
  </si>
  <si>
    <t>Turner, David R/0000-0002-2891-2664; Croot, Peter/0000-0003-1396-0601</t>
  </si>
  <si>
    <t>10.1016/j.dsr2.2003.10.012</t>
  </si>
  <si>
    <t>WOS:000226056900022</t>
  </si>
  <si>
    <t>Arbic, BK; Garner, ST; Hallberg, RW; Simmons, HL</t>
  </si>
  <si>
    <t>The accuracy of surface elevations in forward global barotropic and baroclinic tide models</t>
  </si>
  <si>
    <t>Joint Assembly of the EGS/AGU/EUG</t>
  </si>
  <si>
    <t>APR 06-11, 2003</t>
  </si>
  <si>
    <t>Nice, FRANCE</t>
  </si>
  <si>
    <t>MID-ATLANTIC RIDGE; INTERNAL TIDES; OCEAN TIDES; DEEP-OCEAN; TOPEX/POSEIDON ALTIMETRY; HAWAIIAN RIDGE; HARMONIC DEVELOPMENT; HYDRODYNAMIC MODEL; ROUGH TOPOGRAPHY; ABYSSAL OCEAN</t>
  </si>
  <si>
    <t>This paper examines the accuracy of surface elevations in a forward global numerical model of 10 tidal constituents. Both one-layer and two-layer simulations are performed. As far as the authors are aware, the two-layer simulations and the simulations in a companion paper (Deep-Sea Research 11, 51 (2004) 3043) represent the first published global numerical solutions for baroclinic tides. Self-consistent forward solutions for the global tide are achieved with a convergent iteration procedure for the self-attraction and loading term. Energies are too large, and elevation accuracies are poor, unless substantial abyssal drag is present. Reasonably accurate tidal elevations can be obtained with a spatially uniform bulk drag c(d) or horizontal viscosity K-H, but only if these are inordinately large. More plausible schemes concentrate drag over rough topography. The topographic drag scheme used here is based on an exact analytical solution for arbitrary small-amplitude terrain, and supplemented by dimensional analysis to account for drag due to flow-splitting and low-level turbulence as well as that due to breaking of radiating waves. The scheme is augmented by a multiplicative factor tuned to minimize elevation discrepancies with respect to the TOPEX/ POSEIDON (T/P)-constrained GOT99.2 model. The multiplicative factor may account for undersampled small spatial scales in bathymetric datasets. An optimally tuned multi-constituent one-layer simulation has an RMS elevation discrepancy of 9.54 cm with respect to GOT99.2, in waters deeper than 1000 m and over latitudes covered by T/P (66degreesN to 66degreesS). The surface elevation discrepancy decreases to 8.90 cm (92 percent of the height variance captured) in the optimally tuned two-layer solution. The improvement in accuracy is not due to the direct surface elevation signature of internal tides, which is of small amplitude, but to a shift in the barotropic tide induced by baroclinicity. Elevations are also more accurate in the two-layer model when pelagic tide gauges are used as the benchmark, and when the T/P-constrained TPXO6.2 model is used as a benchmark in deep waters south of 66degreesS. For Antarctic diurnal tides, the improvement in forward model elevation accuracy with baroclinicity is substantial. The optimal multiplicative factor in the two-layer case is nearly the same as in the one-layer case, against initial expectations that the explicit resolution of low-mode conversion would allow less parameterized drag. In the optimally tuned two-layer M-2 solution, local values of the ratio of temporally averaged squared upper layer speed to squared lower layer speed often exceed 10. (C) 2004 Elsevier Ltd. All rights reserved.</t>
  </si>
  <si>
    <t>Princeton Univ, Program Atmospher &amp; Ocean Sci, Princeton, NJ 08544 USA; NOAA, Geophys Fluid Dynam Lab, Princeton, NJ 08544 USA; Univ Alaska Fairbanks, Int Arctic Res Ctr, Fairbanks, AK 99775 USA</t>
  </si>
  <si>
    <t>National Oceanic Atmospheric Admin (NOAA) - USA; Princeton University; National Oceanic Atmospheric Admin (NOAA) - USA; University of Alaska System; University of Alaska Fairbanks</t>
  </si>
  <si>
    <t>Princeton Univ, Program Atmospher &amp; Ocean Sci, POB CN710, Princeton, NJ 08544 USA.</t>
  </si>
  <si>
    <t>arbic@splash.princeton.edu</t>
  </si>
  <si>
    <t>Arbic, Brian K/0000-0002-7969-2294</t>
  </si>
  <si>
    <t>25-26</t>
  </si>
  <si>
    <t>10.1016/j.dsr2.2004.09.014</t>
  </si>
  <si>
    <t>884AO</t>
  </si>
  <si>
    <t>WOS:000226057200012</t>
  </si>
  <si>
    <t>Stark, AA; Martin, CL; Walsh, WM; Xiao, K; Lane, AP; Walker, CK; Stutzki, J</t>
  </si>
  <si>
    <t>Pfalzner, S; Kramer, C; Staubmeier, C; Heithausen, A</t>
  </si>
  <si>
    <t>Results from the AST/RO survey of the Galactic Center region</t>
  </si>
  <si>
    <t>DENSE INTERSTELLAR MEDIUM IN GALAXIES</t>
  </si>
  <si>
    <t>Springer Proceedings in Physics</t>
  </si>
  <si>
    <t>4th Cologne-Bonn-Zermatt Symposium on the Dense Interstellar Medium in Galaxies</t>
  </si>
  <si>
    <t>SEP 22-26, 2003</t>
  </si>
  <si>
    <t>Zermatt, SWITZERLAND</t>
  </si>
  <si>
    <t>ANTARCTIC-SUBMILLIMETER-TELESCOPE; CENTER MOLECULAR CLOUDS; DYNAMICS; GAS</t>
  </si>
  <si>
    <t>We have used the Antarctic Submillimeter Telescope and Remote Observatory (AST/RO), a 1.7m diameter single-dish submillimeter-wave telescope at the geographic South Pole, to determine the physical state of gas in the Galactic Center region and assess its stability. indexsubmillimeter We present an analysis based on data obtained as part of an ongoing AST/RO key project: the large-scale mapping of the dominant cooling lines of the molecular interstellar medium in the Milky Way [1, 2, 3, 4,]. These data are released for general use.</t>
  </si>
  <si>
    <t>Harvard Smithsonian Ctr Astrophys, Cambridge, MA 02138 USA</t>
  </si>
  <si>
    <t>Smithsonian Institution; Smithsonian Astrophysical Observatory; Harvard University</t>
  </si>
  <si>
    <t>Stark, AA (corresponding author), Harvard Smithsonian Ctr Astrophys, 60 Garden St,MS 12, Cambridge, MA 02138 USA.</t>
  </si>
  <si>
    <t>aas@cfa.harvard.edu; cmartin@cfa.harvard.edu; wwalsh@cfa.harvard.edu; kxiao@cfa.harvard.edu; alane@cfa.harvard.edu; cwalker@as.arizona.edu; stutzk@ph1.uni-koeln.de</t>
  </si>
  <si>
    <t>0930-8989</t>
  </si>
  <si>
    <t>1867-4941</t>
  </si>
  <si>
    <t>3-540-21254-X</t>
  </si>
  <si>
    <t>SPRINGER PROC PHYS</t>
  </si>
  <si>
    <t>BAF74</t>
  </si>
  <si>
    <t>WOS:000222028600048</t>
  </si>
  <si>
    <t>Makarova, LN; Shirochkov, AV; Nagurnyi, AP; Shmutz, W; Rozanov, EV</t>
  </si>
  <si>
    <t>Estimated impact of electric current related to solar wind energy on the thermal conditions of the middle stratosphere (20-30 km)</t>
  </si>
  <si>
    <t>DOKLADY EARTH SCIENCES</t>
  </si>
  <si>
    <t>MAGNETOPAUSE</t>
  </si>
  <si>
    <t>Arctic &amp; Antarctic Res Inst, St Petersburg 199397, Russia; Phys &amp; Meteorol Observ, Davos, Switzerland</t>
  </si>
  <si>
    <t>Makarova, LN (corresponding author), Arctic &amp; Antarctic Res Inst, Ul Beringa 38, St Petersburg 199397, Russia.</t>
  </si>
  <si>
    <t>shirmak@aari.nw.ru</t>
  </si>
  <si>
    <t>Rozanov, Eugene/A-9857-2012; Rozanov, Eugene/V-1881-2018</t>
  </si>
  <si>
    <t>Rozanov, Eugene/0000-0003-0479-4488; Rozanov, Eugene/0000-0003-0479-4488</t>
  </si>
  <si>
    <t>MAIK NAUKA/INTERPERIODICA/SPRINGER</t>
  </si>
  <si>
    <t>233 SPRING ST, NEW YORK, NY 10013-1578 USA</t>
  </si>
  <si>
    <t>1028-334X</t>
  </si>
  <si>
    <t>1531-8354</t>
  </si>
  <si>
    <t>DOKL EARTH SCI</t>
  </si>
  <si>
    <t>Dokl. Earth Sci.</t>
  </si>
  <si>
    <t>777QL</t>
  </si>
  <si>
    <t>WOS:000189189000028</t>
  </si>
  <si>
    <t>Eagles, G</t>
  </si>
  <si>
    <t>Tectonic evolution of the Antarctic-Phoenix plate system since 15 Ma</t>
  </si>
  <si>
    <t>Antarctica; Drake Passage; fracture zones; plate motion; seafloor spreading; subduction</t>
  </si>
  <si>
    <t>FINITE ROTATIONS; FRACTURE-ZONE; RIDGE; SEA; UNCERTAINTIES; ALTIMETER; PENINSULA; MOTIONS; HISTORY; GRAVITY</t>
  </si>
  <si>
    <t>Joint inversion of magnetic isochron and fracture zone data from the extinct Antarctic-Phoenix spreading system in SW Drake Passage yields seven new finite reconstruction poles. The inversion results are very well constrained for such a short length of plate boundary. Although this is partly because the finite poles are located close to the reconstructed region, the optimum use of fracture zone identifications from satellite-derived free-air gravity data is also important-as the stability of stage poles throughout the short intervals in the model affirms. The model results describe a well-organised spreading system since magnetic anomaly chron C5AD (similar to15 Ma) in which the Phoenix plate rotated about stage poles nearby to the southwest. Stage pole locations are broadly consistent with a hypothesis of pivoting subduction as the driving force of Phoenix plate movement, and there is some evidence in the progression of stage poles for late stage movement of the subduction pivot in response to the changing azimuth of the subduction zone at which the Phoenix plate was being consumed. The model kinematics alone provide no unequivocal support for previous interpretations of disruption of the subducted part of the Phoenix plate. The very latest stages of spreading saw falling spreading rates between magnetic anomaly chrons C4 (similar to8.1 Ma) and C2A (similar to3.3 Ma) when the Antarctic-Phoenix Ridge became extinct. This is consistent with an increase in shear stress across the plate bounding Shackleton Fracture Zone due to a plate reorganisation in the neighbouring Scotia Sea following the cessation of spreading on the West Scotia Ridge. (C) 2003 Elsevier B.V. All rights reserved.</t>
  </si>
  <si>
    <t>Alfred Wegener Inst Polar &amp; Marine Res, D-27568 Bremerhaven, Germany</t>
  </si>
  <si>
    <t>Eagles, G (corresponding author), Alfred Wegener Inst Polar &amp; Marine Res, Columbusstr, D-27568 Bremerhaven, Germany.</t>
  </si>
  <si>
    <t>Eagles, Graeme/0000-0001-5325-0810</t>
  </si>
  <si>
    <t>JAN 1</t>
  </si>
  <si>
    <t>10.1016/S0012-821X(03)00584-3</t>
  </si>
  <si>
    <t>759YC</t>
  </si>
  <si>
    <t>WOS:000187781600008</t>
  </si>
  <si>
    <t>Stenni, B; Jouzel, J; Masson-Delmotte, V; Röthlisberger, R; Castellano, E; Cattani, O; Falourd, S; Johnsen, SJ; Longinelli, A; Sachs, JP; Selmo, E; Souchez, R; Steffensen, JP; Udisti, R</t>
  </si>
  <si>
    <t>A late-glacial high-resolution site and source temperature record derived from the EPICA Dome C isotope records (East Antarctica)</t>
  </si>
  <si>
    <t>deuterium excess; deuterium; ice cores; site temperature; source temperature; East Antarctica</t>
  </si>
  <si>
    <t>VOSTOK ICE CORE; DEUTERIUM-EXCESS; CLIMATE-CHANGE; GREENLAND CLIMATE; LAST; SURFACE; PRECIPITATION; PALEOCLIMATE; SEDIMENTS; EVENTS</t>
  </si>
  <si>
    <t>The timing and synchronisation of Greenland and Antarctic climate events that occurred during the last glacial period are still under debate, as is the magnitude of temperature change associated with these events. Here we present detailed records of local and moisture-source temperature changes spanning the period 27-45 kyr BP from water stable isotope measurements (deltaD and delta(18)O) in the recently drilled EPICA Dome C ice core, East Antarctic plateau. Using a simple isotopic model, site (DeltaT(site)) and source (DeltaT(source)) temperatures are extracted from the initial 50-yr high-resolution isotopic records, taking into account the changes in seawater isotopic composition. The deuterium isotope variability is very similar to the less precise deltaD record from the Vostok ice core, and the site temperature inversion leads to a temperature profile similar to the classical palaeothermometry method, due to compensations between source and ocean water corrections. The reconstructed DeltaT(site) and DeltaT(source) profiles show different trends during the glacial: the former shows a decreasing trend from the warm Al event (38 kyr BP) toward the Last Glacial Maximum, while the latter shows increasing values from 41 to 28 kyr BP. The low-frequency deuterium excess fluctuations are strongly influenced by obliquity fluctuations, controlling the low- to high-latitude temperature gradients, and show a remarkable similarity with a high-resolution southeast Atlantic sea surface temperature record. A comparison of the temperature profiles (site and source) and temperature gradient (DeltaT(source)-DeltaT(site)) with the non-sea-salt calcium and sodium records suggests a secondary influence of atmospheric transport changes on aerosol variations. (C) 2003 Elsevier B.V. All rights reserved.</t>
  </si>
  <si>
    <t>Univ Trieste, Dept Geol Environm &amp; Marine Sci, I-34127 Trieste, Italy; CEA Saclay, UMR CEA CNRS 1572, IPSL Lab Sci Climat &amp; Environm, F-91191 Gif Sur Yvette, France; British Antarctic Survey, Cambridge CB3 0ET, England; Univ Florence, Sci Pole, Dept Chem, I-50019 Sesto Fiorentino, Fi, Italy; Univ Copenhagen, Niels Bohr Inst, Dept Geophys, DK-2100 Copenhagen, Denmark; Univ Iceland, Inst Sci, IS-107 Reykjavik, Iceland; Univ Parma, Dept Earth Sci, I-43100 Parma, Italy; MIT, Dept Earth Atmospher &amp; Planetary Sci, Cambridge, MA 02139 USA; Free Univ Brussels, Dept Sci Terre &amp; Environm, B-1050 Brussels, Belgium</t>
  </si>
  <si>
    <t>University of Trieste; CEA; Centre National de la Recherche Scientifique (CNRS); Universite Paris Saclay; UK Research &amp; Innovation (UKRI); Natural Environment Research Council (NERC); NERC British Antarctic Survey; University of Florence; University of Copenhagen; Niels Bohr Institute; University of Iceland; University of Parma; Massachusetts Institute of Technology (MIT); Universite Libre de Bruxelles</t>
  </si>
  <si>
    <t>Univ Trieste, Dept Geol Environm &amp; Marine Sci, Via E Weiss 2, I-34127 Trieste, Italy.</t>
  </si>
  <si>
    <t>stenni@univ.trieste.it</t>
  </si>
  <si>
    <t>Masson-Delmotte, Valerie L/G-1995-2011; Udisti, Roberto/M-7966-2015; Steffensen, Jorgen Peder/JFS-7831-2023</t>
  </si>
  <si>
    <t>Masson-Delmotte, Valerie L/0000-0001-8296-381X; Udisti, Roberto/0000-0003-4440-8238; Steffensen, Jorgen Peder/0000-0002-5516-1093; Becagli, Silvia/0000-0003-3633-4849; Stenni, Barbara/0000-0003-4950-3664</t>
  </si>
  <si>
    <t>10.1016/S0012-821X(03)00574-0</t>
  </si>
  <si>
    <t>WOS:000187781600015</t>
  </si>
  <si>
    <t>Yada, T; Nakamura, T; Takaoka, N; Noguchi, T; Terada, K; Yano, H; Nakazawa, T; Kojima, H</t>
  </si>
  <si>
    <t>The global accretion rate of extraterrestrial materials in the last glacial period estimated from the abundance of micrometeorites in Antarctic glacier ice</t>
  </si>
  <si>
    <t>EARTH PLANETS AND SPACE</t>
  </si>
  <si>
    <t>micrometeorite; accretion rate; Antarctica; last glacial periods; noble gas; interplanetary dust particle</t>
  </si>
  <si>
    <t>INTERPLANETARY DUST PARTICLES; DOME-FUJI-STATION; COSMIC SPHERULES; COLLECTION; GREENLAND; ORIGIN; EARTH; FLUX; METEORITES; SEDIMENT</t>
  </si>
  <si>
    <t>The accretion rate of micrometeorites in the last glacial period was estimated from the concentrations of micrometeorites in the blue ice around the Yamato Mts. in Antarctica. The samples from this study were collected from the five sampling points (MO3, KO2, K11, JO9 and J10) in the blue ice. The blue ice was melted and filtered, and the micrometeorites were handpicked from the collected glacial sands. The weight of the micrometeorites in the blue ice was estimated from the abundance of recovered micrometeorites and the solar noble gas concentrations in the residue after handpicking. The age of the blue ice from the K area was estimated to be 27-33 kyr before present based on oxygen isotope data. The estimated accretion rate to the whole Earth ranges from 5300 x 10(3)kg/a to 16000 x 103kg/a. However, the lower end of this range probably represents lower limits due to possible loss of solar noble gases during long residence in the glacier ice. Hence, we estimate that the accretion rate of micrometeorites 27-33 kyr before present to be in the range between (11000 6600) x 10(3)kg/a and (16000 9100) x 10(3)kg/a. These results, as well as the other estimates, suggest that the accretion rate of micrometeorites in the last glacial period was comparable to that in the present.</t>
  </si>
  <si>
    <t>Kyushu Univ 33, Dept Earth &amp; Planetary Sci, Grad Sch Sci, Fukuoka 8128581, Japan; Univ Tokyo, Grad Sch Sci, Dept Earth &amp; Planetary Sci, Bunkyo Ku, Tokyo 1130033, Japan; Ibaraki Univ, Dept Minerals &amp; Biol Sci, Ibaraki 3108512, Japan; Hiroshima Univ, Dept Earth &amp; Planetary Syst Sci, Grad Sch Sci, Higashihiroshima 7398526, Japan; Japan Aersosp Explorat Agcy, Dept Planetary Sci, Inst Space &amp; Astronaut Sci, Kanagawa 2298510, Japan; Tohoku Univ, Ctr Atmospher &amp; Ocean Studies, Grad Sch Sci, Aoba Ku, Sendai, Miyagi 9808578, Japan; Natl Inst Polar Res, Itabashi Ku, Tokyo 1738515, Japan</t>
  </si>
  <si>
    <t>Kyushu University; University of Tokyo; Ibaraki University; Hiroshima University; Japan Aerospace Exploration Agency (JAXA); Institute of Space &amp; Astronautical Science (ISAS); Tohoku University; Research Organization of Information &amp; Systems (ROIS); National Institute of Polar Research (NIPR) - Japan</t>
  </si>
  <si>
    <t>Washington Univ, Space Sci Lab, Dept Phys, CB 1105,1 Brookings Dr, St Louis, MO 63130 USA.</t>
  </si>
  <si>
    <t>tyada@physics.wustl.edu</t>
  </si>
  <si>
    <t>Terada, Kentaro/AAN-5930-2021; Noguchi, Takaaki/IWV-1123-2023</t>
  </si>
  <si>
    <t>Noguchi, Takaaki/0000-0001-7211-2595; Terada, Kentaro/0000-0003-0120-1229</t>
  </si>
  <si>
    <t>1880-5981</t>
  </si>
  <si>
    <t>EARTH PLANETS SPACE</t>
  </si>
  <si>
    <t>Earth Planets Space</t>
  </si>
  <si>
    <t>10.1186/BF03352491</t>
  </si>
  <si>
    <t>812MN</t>
  </si>
  <si>
    <t>WOS:000220843700006</t>
  </si>
  <si>
    <t>Kim, HR; von Frese, RRB; Golynsky, AV; Taylor, PT; Kim, JW</t>
  </si>
  <si>
    <t>Application of satellite magnetic observations for estimating near-surface magnetic anomalies</t>
  </si>
  <si>
    <t>crustal magnetic anomaly; satellite data; ADMAP; least squares inversion</t>
  </si>
  <si>
    <t>SPHERICAL-EARTH GRAVITY; GLOBAL VECTOR; MAPS; INVERSION; FIELD; POGO</t>
  </si>
  <si>
    <t>Regional to continental scale magnetic anomaly maps are becoming increasingly available from airborne, ship-borne, and terrestrial surveys. Satellite data are commonly considered to fill the coverage gaps in regional compilations of these near-surface surveys. For the near-surface Antarctic magnetic anomaly map being produced by the Antarctic Digital Magnetic Anomaly Project (ADMAP), we show that near-surface magnetic anomaly estimation is greatly enhanced by the joint inversion of the near-surface data with Orsted satellite observations compared to Magsat data that have order-of-magnitude greater measurement errors, albeit collected at much lower orbital altitudes. The CHAMP satellite is observing the geomagnetic field with the same measurement accuracy as the Orsted mission, but at the lower orbital altitudes covered by Magsat. Hence, additional significant improvement in predicting near-surface magnetic anomalies can result as lithospheric magnetic anomaly data from the CHAMP mission become available. Our analysis also suggests that a further order-of-magnitude improvement in the accuracy of the magnetometer measurements at minimum orbital altitude may reveal considerable new insight into the magnetic properties of the lithosphere.</t>
  </si>
  <si>
    <t>Univ Maryland, Goddard Earth Sci &amp; Technol Ctr, Baltimore Cty, Greenbelt, MD 20771 USA; NASA, Goddard Space Flight Ctr, Geodynam Branch, Greenbelt, MD 20771 USA; Ohio State Univ, Dept Geol Sci, Columbus, OH 43210 USA; Ohio State Univ, Byrd Polar Res Ctr, Columbus, OH 43210 USA; VNIIOkenageol, St Petersburg 190121, Russia; Sejong Univ, Dept Geoinformat Engn, Seoul 143747, South Korea</t>
  </si>
  <si>
    <t>University System of Maryland; University of Maryland Baltimore County; National Aeronautics &amp; Space Administration (NASA); NASA Goddard Space Flight Center; University System of Ohio; Ohio State University; University System of Ohio; Ohio State University; Sejong University</t>
  </si>
  <si>
    <t>Univ Maryland, Goddard Earth Sci &amp; Technol Ctr, Baltimore Cty, Greenbelt, MD 20771 USA.</t>
  </si>
  <si>
    <t>kimhr@core2.gsfc.nasa.gov</t>
  </si>
  <si>
    <t>Taylor, Patrick T/D-4707-2012</t>
  </si>
  <si>
    <t>Taylor, Patrick T/0000-0002-1212-9384; Golynsky, Alexander/0000-0003-2546-4082; Kim, Hyung Rae/0000-0002-6576-9457</t>
  </si>
  <si>
    <t>10.1186/BF03351793</t>
  </si>
  <si>
    <t>870ZM</t>
  </si>
  <si>
    <t>WOS:000225097700003</t>
  </si>
  <si>
    <t>Wang, CZ; Xie, SP; Carton, JA</t>
  </si>
  <si>
    <t>Wang, C; Xie, SP; Carton, JA</t>
  </si>
  <si>
    <t>A global survey of ocean-atmosphere interaction and climate variability</t>
  </si>
  <si>
    <t>EARTH'S CLIMATE: THE OCEAN-ATMOSPHERE INTERACTION</t>
  </si>
  <si>
    <t>Geophysical Monograph Book Series</t>
  </si>
  <si>
    <t>Conference on Ocean-Atmosphere Interaction and Climate Variability</t>
  </si>
  <si>
    <t>DEC, 2002</t>
  </si>
  <si>
    <t>San Francisco, CA</t>
  </si>
  <si>
    <t>SURFACE TEMPERATURE VARIABILITY; ANTARCTIC CIRCUMPOLAR WAVE; AIR-SEA INTERACTION; EL-NINO; TROPICAL ATLANTIC; INDIAN-OCEAN; PACIFIC-OCEAN; NORTH PACIFIC; ANNUAL CYCLE; PART I</t>
  </si>
  <si>
    <t>The interaction of the ocean and atmosphere plays an important role in shaping the climate and its variations. This chapter reviews the current state of knowledge of air-sea interaction and climate variations over the global ocean. The largest source of climate variability in the instrumental record is El Nino-Southern Oscillation (ENSO), which extends its reach globally through the ability of the atmosphere to bridge ocean basins. The growth of ENSO owes its existence to a positive ocean-atmosphere feedback mechanism (originally envisioned by J. Bjerknes) that involves the interaction of ocean dynamics, atmospheric convection, and winds in the equatorial Pacific. The Bjerknes feedback and the resultant equatorial zonal mode of climate variability are a common feature to all three tropical oceans despite differences in dimension, geometry and mean climate. In addition to this zonal mode, the tropics also support a meridional. mode, whose growth is due to a thermodynamic feedback mechanism involving the interaction of the cross-equatorial gradient of properties such as sea surface temperature and displacements of the seasonal intertropical convergence zone. This meridional mode is observed in the tropical Atlantic, with some evidence of its existence in the Pacific and Indian Oceans. In the extratropics, in contrast, the sources of climate variability are more distributed. Much of climate variability may be explained by the presence of white noise due to synoptic weather disturbances whose impact on climate at longer timescales is due to the integrating effect of the ocean's ability to store and release heat. Still, there is some evidence of a more active role for the mid-latitude ocean in climate variability, especially near major ocean currents/fronts. Finally, various atmospheric and oceanic bridges that link different ocean basins are discussed, along with their implications for paleoclimate changes and the current global warming.</t>
  </si>
  <si>
    <t>NOAA, Atlantic Oceanog &amp; Meteorol Lab, Phys Oceanog Div, Miami, FL 33149 USA</t>
  </si>
  <si>
    <t>National Oceanic Atmospheric Admin (NOAA) - USA; Atlantic Oceanographic &amp; Meteorological Laboratory (AOML)</t>
  </si>
  <si>
    <t>NOAA, Atlantic Oceanog &amp; Meteorol Lab, Phys Oceanog Div, 301 Rickenbacker Causeway, Miami, FL 33149 USA.</t>
  </si>
  <si>
    <t>Chunzai.Wang@noaa.gov; xie@hawaii.edu; carton@atmos.umd.edu</t>
  </si>
  <si>
    <t>carton, james/C-4807-2009; Wang, Chunzai/C-9712-2009; Xie, Shang-Ping/C-1254-2009</t>
  </si>
  <si>
    <t>carton, james/0000-0003-0598-5198; Wang, Chunzai/0000-0002-7611-0308; Xie, Shang-Ping/0000-0002-3676-1325</t>
  </si>
  <si>
    <t>0065-8448</t>
  </si>
  <si>
    <t>0-87590-412-2</t>
  </si>
  <si>
    <t>GEOPHYS MONOGR SER</t>
  </si>
  <si>
    <t>Meteorology &amp; Atmospheric Sciences; Oceanography</t>
  </si>
  <si>
    <t>BBJ25</t>
  </si>
  <si>
    <t>WOS:000225756500001</t>
  </si>
  <si>
    <t>Phalan, B; Phillips, RA; Double, MC</t>
  </si>
  <si>
    <t>A White-capped Albatross, Thalassarche [cauta] steadi, at South Georgia:: first confirmed record in the south-western Atlantic</t>
  </si>
  <si>
    <t>EMU-AUSTRAL ORNITHOLOGY</t>
  </si>
  <si>
    <t>SHY ALBATROSSES; HEADED ALBATROSSES; MITOCHONDRIAL-DNA; DYNAMICS; ISLAND; SEX</t>
  </si>
  <si>
    <t>Although albatrosses typically show strong natal philopatry, a small proportion of birds emigrate to distant colonies, occasionally establishing new breeding sites and potentially initiating speciation events. Patterns of albatross distribution and speciation may be determined largely by the behaviour of these few wayward individuals. In February 2003, a male White-capped Albatross, Thalassarche [cauta] steadi (identified from DNA), was observed in a colony of Black-browed Albatrosses, T. melanophrys, at Bird Island, South Georgia. It returned to the same colony the following austral spring. Although there have been previous records of shy-type albatrosses (T. [cauta] steadi or T. [cauta] cauta) in the south-western Atlantic Ocean, this is the first confirmed record of either taxon, and indicates the potential for colonisation, over 10000 km from its present breeding range.</t>
  </si>
  <si>
    <t>British Antarctic Survey, NERC, Cambridge CB3 0ET, England; Australian Natl Univ, Sch Bot &amp; Zool, Canberra, ACT 0200, Australia</t>
  </si>
  <si>
    <t>UK Research &amp; Innovation (UKRI); Natural Environment Research Council (NERC); NERC British Antarctic Survey; Australian National University</t>
  </si>
  <si>
    <t>raphil@bas.ac.uk</t>
  </si>
  <si>
    <t>Phalan, Ben/A-5783-2009</t>
  </si>
  <si>
    <t>Phalan, Ben/0000-0001-7876-7226</t>
  </si>
  <si>
    <t>TAYLOR &amp; FRANCIS AUSTRALASIA</t>
  </si>
  <si>
    <t>MELBOURNE</t>
  </si>
  <si>
    <t>LEVEL 2, 11 QUEENS RD, MELBOURNE, VIC 3004, AUSTRALIA</t>
  </si>
  <si>
    <t>0158-4197</t>
  </si>
  <si>
    <t>1448-5540</t>
  </si>
  <si>
    <t>EMU</t>
  </si>
  <si>
    <t>Emu</t>
  </si>
  <si>
    <t>10.1071/MU03057</t>
  </si>
  <si>
    <t>880DN</t>
  </si>
  <si>
    <t>WOS:000225769300007</t>
  </si>
  <si>
    <t>Marty, JW</t>
  </si>
  <si>
    <t>Malla, RB; Maji, A</t>
  </si>
  <si>
    <t>Construction of a modernized south pole station: Progress and challenges</t>
  </si>
  <si>
    <t>ENGINEERING, CONSTRUCTION AND OPERATIONS IN CHALLENGING ENVIRONMENTS: EARTH AND SPACE 2004</t>
  </si>
  <si>
    <t>9th Biennial International Conference on Engineering, Construction and Operations in Challenging Environment</t>
  </si>
  <si>
    <t>MAR 07-10, 2004</t>
  </si>
  <si>
    <t>League City Houston, TX</t>
  </si>
  <si>
    <t>This paper describes progress on the construction of the United States Antarctic Program's Modernized South Pole Station, managed by the National Science Foundation (NSF). This project, formally known as South Pole Safety and Environmental/Station Modernization (SPSE/SM), has entered the seventh year of a ten-year construction schedule, with a planned 2007 completion date. This paper addresses elements of the design, budget, logistics, construction schedule, resolution of construction and design conflicts, and construction progress to date.</t>
  </si>
  <si>
    <t>Natl Sci Fdn, Arlington, VA 22230 USA</t>
  </si>
  <si>
    <t>National Science Foundation (NSF)</t>
  </si>
  <si>
    <t>Marty, JW (corresponding author), Natl Sci Fdn, 4201 Wilson Blvd, Arlington, VA 22230 USA.</t>
  </si>
  <si>
    <t>AMER SOC CIVIL ENGINEERS</t>
  </si>
  <si>
    <t>UNITED ENGINEERING CENTER, 345 E 47TH ST, NEW YORK, NY 10017-2398 USA</t>
  </si>
  <si>
    <t>0-7844-0722-3</t>
  </si>
  <si>
    <t>BBU90</t>
  </si>
  <si>
    <t>WOS:000227944400099</t>
  </si>
  <si>
    <t>Delmonte, B; Petit, JR; Basile-Doelsch, I; Lipenkov, V; Maggi, V</t>
  </si>
  <si>
    <t>Delmonte, Barbara; Petit, Jean R.; Basile-Doelsch, Isabelle; Lipenkov, Vladimir; Maggi, Valter</t>
  </si>
  <si>
    <t>First Characterization and Dating of East Antarctic Bedrock Inclusions from Subglacial Lake Vostok Accreted Ice</t>
  </si>
  <si>
    <t>ENVIRONMENTAL CHEMISTRY</t>
  </si>
  <si>
    <t>dusts; geochemistry (inorganic); minerals; palaeogeochemistry</t>
  </si>
  <si>
    <t>The Vostok (East Antarctica, 78 degrees S, 106 degrees E) ice core preserves, below the meteoric ice keeping the climatic memory of the last 420 000 years, ice formed by freezing of subglacial Lake Vostok water. This latter contains some bedrock fragments representing unique samples for the geological investigation of the East Antarctic Plateau, covered by similar to 2-4 km of ice. The first geochemical ((87)Sr/(86)Sr versus (143)Nd/(144)Nd) and mineralogical characterization of these inclusions as well as the dating of one of them (Nd model age on whole-rock sample) has given evidence for a Mid-Proterozoic age of the basement lying below the ice sheet, consistent with recent geophysical data. The geochemical characteristics of bedrock inclusions within the accreted ice zone are markedly different from those of the mineral dust of aeolian origin archived in the uppermost part of the Vostok ice core and originating from deflation of the Southern Hemisphere continents, and easily discriminates between the two contributions.</t>
  </si>
  <si>
    <t>[Delmonte, Barbara; Petit, Jean R.] CNRS, LGGE, F-38402 St Martin Dheres, France; [Delmonte, Barbara; Maggi, Valter] Univ Milan, DISAT, I-20100 Milan, Italy; [Basile-Doelsch, Isabelle] CEREGE, F-13545 Aix En Provence, France; [Lipenkov, Vladimir] AARI, St Petersburg 199397, Russia</t>
  </si>
  <si>
    <t>Centre National de la Recherche Scientifique (CNRS); Communaute Universite Grenoble Alpes; Universite Grenoble Alpes (UGA); University of Milan; Aix-Marseille Universite; Arctic &amp; Antarctic Research Institute</t>
  </si>
  <si>
    <t>Delmonte, B (corresponding author), CNRS, LGGE, BP96, F-38402 St Martin Dheres, France.</t>
  </si>
  <si>
    <t>bdelmonte@nest.it</t>
  </si>
  <si>
    <t>Maggi, Valter/E-1878-2014; Basile, Isabelle IBD/B-4173-2010; Delmonte, Barbara/L-2555-2015; Maggi, Valter/AAX-5728-2020; Lipenkov, Vladimir/Q-8262-2016</t>
  </si>
  <si>
    <t>Delmonte, Barbara/0000-0002-9074-2061; Maggi, Valter/0000-0001-6287-1213; Lipenkov, Vladimir/0000-0003-4221-5440</t>
  </si>
  <si>
    <t>Scientific Committee for Antarctic Research (SCAR)</t>
  </si>
  <si>
    <t>B.D. thanks the Scientific Committee for Antarctic Research (SCAR) for the award of the Prince of Asturias Fellowship 2003, which allowed the development of this research. Analysis were performed at CEREGE Laboratory (Aix en Provence, France), and we are grateful for having been granted access to laboratory facilities. We thank A. Michard for assistance in sample dating.</t>
  </si>
  <si>
    <t>COLLINGWOOD</t>
  </si>
  <si>
    <t>150 OXFORD ST, PO BOX 1139, COLLINGWOOD, VICTORIA 3066, AUSTRALIA</t>
  </si>
  <si>
    <t>1448-2517</t>
  </si>
  <si>
    <t>ENVIRON CHEM</t>
  </si>
  <si>
    <t>Environ. Chem.</t>
  </si>
  <si>
    <t>10.1071/EN04029</t>
  </si>
  <si>
    <t>Chemistry, Analytical; Environmental Sciences</t>
  </si>
  <si>
    <t>Chemistry; Environmental Sciences &amp; Ecology</t>
  </si>
  <si>
    <t>V04HW</t>
  </si>
  <si>
    <t>WOS:000207050500005</t>
  </si>
  <si>
    <t>López-García, P; Brochier, C; Moreira, D; Rodríguez-Valera, F</t>
  </si>
  <si>
    <t>Comparative analysis of a genome fragment of an uncultivated mesopelagic crenarchaeote reveals multiple horizontal gene transfers</t>
  </si>
  <si>
    <t>ARCHAEON CENARCHAEUM-SYMBIOSUM; DIFFERENT OCEANIC PROVINCES; TRANSFER-RNA SYNTHETASES; RIBOSOMAL-RNA; DEEP-SEA; MICROBIAL DIVERSITY; SEQUENCE ALIGNMENT; PROTEIN; BACTERIAL; PROKARYOTES</t>
  </si>
  <si>
    <t>Marine planktonic crenarchaeota have escaped all cultivation attempts to date, all crenarchaeota growing in pure culture so far being hyperthermophiles. Here, we present a comparative genomic analysis of a 16S- plus 23S-rDNA-containing fragment of a crenarchaeote retrieved from an environmental genomic library constructed from picoplankton collected at 500 m depth in the Antarctic Polar Front. The clone DeepAnt-EC39 contained an insert of 33.3 kbp, which was completely sequenced. DeepAnt-EC39 appears to represent a lineage specific to deep-sea waters but widespread geographically, as revealed by the analysis of the 16S-23S-rDNA intergenic spacer region. A comparison with previously sequenced marine crenarchaeotal genomic clones also containing an rrn operon (74A4, 4B7 and Cenarchaeum symbiosum strains A and B) revealed a highly variable structure involving gene rearrangements and insertions/deletions. The surroundings of the rrn operon and the contiguous glutamate-1-semialdehyde aminotransferase gene appear hot spots for recombination. Phylogenetic analyses of all individual predicted proteins revealed the existence of several likely cases of horizontal gene transfer both, between the two archaeal kingdoms and between the two prokaryotic domains. The most frequent horizontal transfers appear to involve genes from mesophilic methanogenic euryarchaeota related to Methanosarcinales. We hypothesise that the acquisition of genes from mesophilic bacteria and euryarchaeota has played a major role in the adaptation of Group I crenarchaeota to life at lower temperatures.</t>
  </si>
  <si>
    <t>Univ Paris 11, CNRS, UMR 8079, F-91405 Orsay, France; Univ Paris 06, F-75005 Paris, France; Univ Miguel Hernandez, Div Microbiol, Alacant 03550, Spain</t>
  </si>
  <si>
    <t>AgroParisTech; Centre National de la Recherche Scientifique (CNRS); CNRS - Institute of Ecology &amp; Environment (INEE); Universite Paris Saclay; Sorbonne Universite; Universidad Miguel Hernandez de Elche</t>
  </si>
  <si>
    <t>López-García, P (corresponding author), Univ Paris 11, CNRS, UMR 8079, Batiment 360, F-91405 Orsay, France.</t>
  </si>
  <si>
    <t>Moreira, David/F-7445-2012; Brochier-Armanet, Celine/B-7898-2011; Rodriguez-Valera, Francisco/M-2782-2013; Lopez-Garcia, Purificacion/B-6775-2012</t>
  </si>
  <si>
    <t>Moreira, David/0000-0002-2064-5354; Rodriguez-Valera, Francisco/0000-0002-9809-2059; Lopez-Garcia, Purificacion/0000-0002-0927-0651; Brochier-Armanet, Celine/0000-0003-4669-3589</t>
  </si>
  <si>
    <t>10.1046/j.1462-2920.2003.00533.x</t>
  </si>
  <si>
    <t>755LX</t>
  </si>
  <si>
    <t>WOS:000187405300003</t>
  </si>
  <si>
    <t>Hughes, KA; Thompson, A</t>
  </si>
  <si>
    <t>Distribution of sewage pollution around a maritime Antarctic research station indicated by faecal coliforms, Clostridium perfringens and faecal sterol markers</t>
  </si>
  <si>
    <t>ENVIRONMENTAL POLLUTION</t>
  </si>
  <si>
    <t>Antarctica; faecal coliforms; Clostridium perfringens; faecal sterols; sewage</t>
  </si>
  <si>
    <t>ENTERIC BACTERIA; SEA; SEDIMENTS; SEAWATER; COPROSTANOL; SURVIVAL; OUTFALL; SLUDGE; WATER; SITE</t>
  </si>
  <si>
    <t>This study describes the distribution of sewage pollution markers (faecal coliforms, Clostridium perfringens and faecal sterols) in seawater and marine sediments around Rothera Research Station, Antarctic Peninsula. Untreated sewage waste has been released from this site since 1975, creating the potential for long-term contamination of the benthic environment. Faecal coliform concentrations in seawater reached background levels within 300 m of the outfall. In sediment cores, both C. perfringens and faecal coliform concentrations declined with distance from the outfall, though C. perfringens persisted at greater depths in the sediment. High concentrations of 5beta(H)-cholestan-3beta-of (coprostanol) relative to the corresponding 5alpha-epimer (cholestanol), indicative of sewage pollution, were only found in sediments within 200 m of the sewage outfall. This study has shown that sewage contamination is limited to the immediate vicinity of the sewage outfall. Nevertheless, a sewage treatment plant was installed in February 2003 to reduce this contamination further. (C) 2003 Elsevier Ltd. All rights reserved.</t>
  </si>
  <si>
    <t>British Antarctic Survey, NERC, Cambridge CB3 0ET, England; Univ Liverpool, Dept Earth &amp; Ocean Sci, Liverpool L69 3GP, Merseyside, England</t>
  </si>
  <si>
    <t>UK Research &amp; Innovation (UKRI); Natural Environment Research Council (NERC); NERC British Antarctic Survey; University of Liverpool</t>
  </si>
  <si>
    <t>Hughes, KA (corresponding author), British Antarctic Survey, NERC, High Cross,Madingley Rd, Cambridge CB3 0ET, England.</t>
  </si>
  <si>
    <t>0269-7491</t>
  </si>
  <si>
    <t>ENVIRON POLLUT</t>
  </si>
  <si>
    <t>Environ. Pollut.</t>
  </si>
  <si>
    <t>10.1016/j.envpol.2003.09.004</t>
  </si>
  <si>
    <t>760YZ</t>
  </si>
  <si>
    <t>WOS:000187864000001</t>
  </si>
  <si>
    <t>Varotsos, C</t>
  </si>
  <si>
    <t>The extraordinary events of the major, sudden stratospheric warming, the diminutive antarctic ozone hole, and its split in 2002</t>
  </si>
  <si>
    <t>ENVIRONMENTAL SCIENCE AND POLLUTION RESEARCH</t>
  </si>
  <si>
    <t>Antarctic ozone hole; ozone hole; planetary waves; polar vortex; stratospheric warming</t>
  </si>
  <si>
    <t>Goal, Scope and Background. Great interest in the unprecedented events of the major, sudden stratospheric warming and the ozone hole split over Antarctica in September 25, 2002 motivates a necessity to analyze the current understanding on the dynamics, chemistry and climate impacts that are associated with both events. Methods. Significant progress in the analysis of the observational data obtained, as well as successful development and application of dynamical modeling, which have been achieved very recently, create a basis for the first survey on the role of the major, sudden stratospheric warming observed in the southern hemisphere and its relationship to the diminutive Antarctic ozone hole and its break up into two parts. Results and Discussion. Special attention has been paid to assessments of the causes of the major warming event and the future expectations concerning the stratospheric ozone depletion effect. Among the principal results is the fact that, as the polar vortex elongated, it became hydrodynamically unstable, and this instability affected the upper troposphere and stratosphere. During the major, sudden stratospheric warming, the middle stratospheric vortex split into two pieces; one piece rapidly mixed with extra vortex air, while the other returned to the pole as a much weaker and smaller vortex. The polar night jet was considerably weaker than normal, and was displaced more poleward than has been observed in previous winters, resulting from a series of wave events (propagated from the troposphere) that took place over the course of the winter. Finally, the relative ozone decrease (increase) in the eastern Antarctic is tightly associated with westerly (easterly) zonal wind anomalies near the southern tip of South America, and the unusual behavior of the ozone hole in 2002 therefore appears to be caused by great easterlies in this region. Conclusions. The main conclusion is that the southern polar vortex and the diminutive ozone hole split into two parts in September 2002, due to the prevalence of very strong planetary waves, led to the appearance of a major, sudden stratospheric warming. Although there is evidence that sea surface temperature anomalies contributed to the excitation of the quite strong planetary waves over Antarctica in 2002, there is not yet a widely approved mechanism supporting that. Recommendations and Outlook. The appearance of the near-record size of the 2003 ozone hole confirmed that the 'no-ozone-hole' episode observed in the year 2002 does not denote a recovery of the ozone layer. Despite the current successful attempts to get a sufficient understanding for the genesis of both extraordinary events, more observations and further modeling efforts are necessary to mote reliably assess the contribution of various dynamic mechanisms to the recently observed tropo-stratospheric surprises.</t>
  </si>
  <si>
    <t>Univ Athens, Dept Appl Phys, GR-15784 Athens, Greece</t>
  </si>
  <si>
    <t>National &amp; Kapodistrian University of Athens</t>
  </si>
  <si>
    <t>Univ Athens, Dept Appl Phys, GR-15784 Athens, Greece.</t>
  </si>
  <si>
    <t>covar@12hys.uoa.gr</t>
  </si>
  <si>
    <t>Varotsos, Costas/H-6257-2013</t>
  </si>
  <si>
    <t>Varotsos, Costas/0000-0001-7215-3610</t>
  </si>
  <si>
    <t>0944-1344</t>
  </si>
  <si>
    <t>1614-7499</t>
  </si>
  <si>
    <t>ENVIRON SCI POLLUT R</t>
  </si>
  <si>
    <t>Environ. Sci. Pollut. Res.</t>
  </si>
  <si>
    <t>10.1007/BF02979661</t>
  </si>
  <si>
    <t>873EG</t>
  </si>
  <si>
    <t>WOS:000225261700011</t>
  </si>
  <si>
    <t>Stanic, B; Jovanovic-Galovic, A; Blagojevic, DP; Grubor-Lajsic, G; Worland, R; Spasic, MB</t>
  </si>
  <si>
    <t>Cold hardiness in Ostrinia nubilalis (Lepidoptera: Pyralidae):: Glycerol content, hexose monophosphate shunt activity, and antioxidative defense system</t>
  </si>
  <si>
    <t>EUROPEAN JOURNAL OF ENTOMOLOGY</t>
  </si>
  <si>
    <t>International Symposium on Animal and Plant Cold Hardiness</t>
  </si>
  <si>
    <t>AUG 10-15, 2003</t>
  </si>
  <si>
    <t>Ceske Budejovice, CZECH REPUBLIC</t>
  </si>
  <si>
    <t>insects; Ostrinia nubialis; antioxidative defense system; hexose monophosphate shunt; cold hardiness; glycerol</t>
  </si>
  <si>
    <t>GLUTATHIONE-PEROXIDASE ACTIVITY; DEHYDROASCORBIC ACID; SOUTHERN ARMYWORM; OXIDATIVE STRESS; S-TRANSFERASES; DIAPAUSE; INSECT; LARVAE; ENZYME; OXYGEN</t>
  </si>
  <si>
    <t>Many insects in temperate regions overwinter in diapause, during which they are cold hardy. In these insects, one of the metabolic adaptations to the unfavorable environmental conditions is the synthesis of cryoprotectants/anhydroprotectants. The aim of this study was to investigate the connection between the antioxidative system and synthesis of cryoprotectants (mainly glycerol) in diapausing larvae of the European corn borer, Ostrinia nubilalis (Lepidoptera: Pyralidae). At two periods during diapause (November and February), in three groups of insects (kept under field conditions; -12degreesC for two weeks; 8degreesC for two weeks), the activity of key enzymes of the antioxidative system and oxidative part of the hexose monophosphate shunt were measured: superoxide dismutase, catalase, non selenium glutathione peroxidase, glutathione S-transferase, glutathione reductase, glucose 6-phosphate dehydrogenase and 6-phosphogluconate dehydrogenase, as well that of the antioxidative components: total glutathione and ascorbate, and dehydroascorbate reductase. There was a higher activity of antioxidative enzymes at the beginning of the diapause period (November) compared to late diapause (February), while glutathione and ascorbate were higher in February. Similarly, there was a lower activity of the hexose monophosphate shunt enzymes in February. Exposure of larvae to -12degreesC resulted in an elevation of hexose monophosphate shunt enzyme activity, especially in November. This was accompanied by a significant increase in glycerol content in February. Changes in ascorbate levels and dehydroascorbate reductase activity in both experimental groups (-12degreesC and 8degreesC) suggest a connection between the antioxidative system, metabolism during diapause and cold hardiness. Our results support the notion that antioxidative defense in larvae of Ostrinia nubilalis is closely connected with metabolic changes characteristic of diapause, mechanisms of cold hardiness involved in diapause and the maintenance of a stable redox state.</t>
  </si>
  <si>
    <t>Univ Novi Sad, Fac Sci, Dept Biol &amp; Ecol, YU-21000 Novi Sad, Serbia Monteneg, Serbia; Dept Physiol, Inst Biol Res Sinisa Stankovic, Belgrade, Serbia Monteneg, Serbia; British Antarctic Survey, NERC, Cambridge CB3 0ET, England</t>
  </si>
  <si>
    <t>University of Novi Sad; University of Belgrade; UK Research &amp; Innovation (UKRI); Natural Environment Research Council (NERC); NERC British Antarctic Survey</t>
  </si>
  <si>
    <t>Univ Novi Sad, Fac Sci, Dept Biol &amp; Ecol, D Obradov 2, YU-21000 Novi Sad, Serbia Monteneg, Serbia.</t>
  </si>
  <si>
    <t>gordanagl@ib.ns.ac.yu</t>
  </si>
  <si>
    <t>Blagojević, Duško P/A-7739-2018; Spasic, Mihajlo/AAE-9381-2020</t>
  </si>
  <si>
    <t>Blagojević, Duško P/0000-0001-6338-2833; Spasic, Mihajlo/0000-0001-9046-0139; Stanic, Bojana/0000-0002-3049-4190; Jovanovic Galovic, Aleksandra/0000-0002-9488-9781</t>
  </si>
  <si>
    <t>CZECH ACAD SCI, INST ENTOMOLOGY</t>
  </si>
  <si>
    <t>CESKE BUDEJOVICE</t>
  </si>
  <si>
    <t>BRANISOVSKA 31, CESKE BUDEJOVICE 370 05, CZECH REPUBLIC</t>
  </si>
  <si>
    <t>1802-8829</t>
  </si>
  <si>
    <t>EUR J ENTOMOL</t>
  </si>
  <si>
    <t>Eur. J. Entomol.</t>
  </si>
  <si>
    <t>10.14411/eje.2004.065</t>
  </si>
  <si>
    <t>Entomology</t>
  </si>
  <si>
    <t>861HS</t>
  </si>
  <si>
    <t>WOS:000224407300014</t>
  </si>
  <si>
    <t>D'Orazio, M; Boschi, C; Brunelli, D</t>
  </si>
  <si>
    <t>Talc-rich hydrothermal rocks from the St. Paul and Conrad fracture zones in the Atlantic Ocean</t>
  </si>
  <si>
    <t>EUROPEAN JOURNAL OF MINERALOGY</t>
  </si>
  <si>
    <t>talc; hydrothermal minerals; Atlantic Ocean; St. Paul Fracture Zone; Conrad Fracture Zone</t>
  </si>
  <si>
    <t>BOUVET TRIPLE JUNCTION; RARE-EARTH-ELEMENTS; JUAN-DE-FUCA; SOUTH-ATLANTIC; RIDGE; VENT; FLUIDS; SERPENTINIZATION; DEPOSIT; REGION</t>
  </si>
  <si>
    <t>Talc-rich rocks covered by Fe-Mn coatings were recovered from the St. Paul EZ. (00degrees37'S-25degrees34'W, equatorial Atlantic) and Conrad F.Z. (55degrees29'S-02degrees05'W, American-Antarctic Ridge). In both occurrences, the talc-rich rocks are associated with serpentinized peridotites, gabbroic rocks and minor basalts. The two rocks have very similar trace element, particularly rare earth element, distributions. The St. Paul EZ. samples are breccias consisting of angular clasts of botryoidal/colloform talc in a subordinate foraminiferal ooze sediment. These breccias probably formed by the collapse of fragile structures formed by the precipitation of talc at hydrothermal vents. Talc formed when seawater mixed with hydrothermal fluids from a mafic-ultramafic reaction zone. The talc-rich hydrothermal rock found at the Conrad EZ. shows evidence of a replacement origin. We suggest the protolith was a gabbroic rock that underwent multi-stage hydrothermal alteration, possibly in a shear zone. These two occurrences represent an evidence of off-axis ocean floor hydrothermal activity, and the study of similar, apparently minor, products collected by dredging could be used to reveal the presence of hydrothermal systems in such impervious settings.</t>
  </si>
  <si>
    <t>Univ Pisa, Dipartimento Sci Terra, I-56126 Pisa, Italy; CNR, Ist Geosci &amp; Georisorse, Sez Pisa, I-56124 Pisa, Italy; ETH Zentrum, Inst Mineral &amp; Petrog, CH-8092 Zurich, Switzerland; CNR, Ist Sci Marien, Sez Bologna, I-40129 Bologna, Italy</t>
  </si>
  <si>
    <t>University of Pisa; Consiglio Nazionale delle Ricerche (CNR); Istituto di Geoscienze e Georisorse (IGG-CNR); Swiss Federal Institutes of Technology Domain; ETH Zurich; Consiglio Nazionale delle Ricerche (CNR); Istituto di Scienze Marine (ISMAR-CNR)</t>
  </si>
  <si>
    <t>D'Orazio, M (corresponding author), Univ Pisa, Dipartimento Sci Terra, I-56126 Pisa, Italy.</t>
  </si>
  <si>
    <t>dorazio@dst.unipi.it</t>
  </si>
  <si>
    <t>Brunelli, Daniele/B-7893-2012; Brunelli, Daniele/AGI-3668-2022; Boschi, Chiara/HCH-2547-2022; CNR, Ismar/P-1247-2014</t>
  </si>
  <si>
    <t>Brunelli, Daniele/0000-0003-4839-1939; Boschi, Chiara/0000-0001-8972-4432; D'Orazio, Massimo/0000-0003-1366-3260; CNR, Ismar/0000-0001-5351-1486</t>
  </si>
  <si>
    <t>E SCHWEIZERBARTSCHE VERLAGSBUCHHANDLUNG</t>
  </si>
  <si>
    <t>STUTTGART</t>
  </si>
  <si>
    <t>NAEGELE U OBERMILLER, SCIENCE PUBLISHERS, JOHANNESSTRASSE 3A, D 70176 STUTTGART, GERMANY</t>
  </si>
  <si>
    <t>0935-1221</t>
  </si>
  <si>
    <t>1617-4011</t>
  </si>
  <si>
    <t>EUR J MINERAL</t>
  </si>
  <si>
    <t>Eur. J. Mineral.</t>
  </si>
  <si>
    <t>10.1127/0935-1221/2004/0016-0073</t>
  </si>
  <si>
    <t>Mineralogy</t>
  </si>
  <si>
    <t>777CR</t>
  </si>
  <si>
    <t>WOS:000189157600007</t>
  </si>
  <si>
    <t>Newsham, KK; Rolf, J; Pearce, DA; Strachan, RJ</t>
  </si>
  <si>
    <t>Differing preferences of Antarctic soil nematodes for microbial prey</t>
  </si>
  <si>
    <t>EUROPEAN JOURNAL OF SOIL BIOLOGY</t>
  </si>
  <si>
    <t>algae; bacteria; food webs; fungi; trophic interactions</t>
  </si>
  <si>
    <t>CAENORHABDITIS-ELEGANS; DIVERSITY; ECOSYSTEMS; STABILITY; BACTERIA; FUNGI; FOOD</t>
  </si>
  <si>
    <t>We tested the preferences of three nematode taxa, Geomonhystera villosa, Plectus spp. and Teratocephalus spp., extracted from moss at Signy Island in the Maritime Antarctic, for two microalgae, three microfungi and six heterotrophic bacteria, each also from soils at Signy Island. Choice test experiments on water agar medium, in which nematodes were enumerated in wells containing microbes at 24 and 48 h, indicated that there were differing preferences between nematodes for distinct prey. G. villosa was significantly attracted to the alga Chlorella cf. minutissima and the fungus Mortierella hyalina, and was more attracted to all algae and fungi than either of the other two nematodes. Both G. villosa and Teratocephalus spp. were attracted to an actinobacterium. Plectus spp. were significantly attracted to the alga Stichococcus bacillaris and bacteria with close taxonomic affinities to Arthrobacter Pseudomonas and Polaromonas. Experiments using 0.5 mum diameter fluorescent beads indicated significantly increased ingestion by nematodes in the presence of each of these microbes compared with controls, except by Plectus spp. in the presence of S. bacillaris. We conclude that complex trophic interactions may occur in apparently simple Antarctic soil food webs. (C) 2004 Elsevier SAS. All rights reserved.</t>
  </si>
  <si>
    <t>British Antarctic Survey, Natl Environm Res Council, Cambridge CB3 0ET, England</t>
  </si>
  <si>
    <t>Newsham, KK (corresponding author), British Antarctic Survey, Natl Environm Res Council, Madingley Rd, Cambridge CB3 0ET, England.</t>
  </si>
  <si>
    <t>k.newsham@bas.ac.uk</t>
  </si>
  <si>
    <t>Newsham, Kevin K/C-4192-2011</t>
  </si>
  <si>
    <t>Pearce, David/0000-0001-5292-4596</t>
  </si>
  <si>
    <t>GAUTHIER-VILLARS/EDITIONS ELSEVIER</t>
  </si>
  <si>
    <t>PARIS</t>
  </si>
  <si>
    <t>23 RUE LINOIS, 75015 PARIS, FRANCE</t>
  </si>
  <si>
    <t>1164-5563</t>
  </si>
  <si>
    <t>EUR J SOIL BIOL</t>
  </si>
  <si>
    <t>Eur. J. Soil Biol.</t>
  </si>
  <si>
    <t>JAN-MAR</t>
  </si>
  <si>
    <t>10.1016/j.ejsobi.2004.01.004</t>
  </si>
  <si>
    <t>Ecology; Soil Science</t>
  </si>
  <si>
    <t>Environmental Sciences &amp; Ecology; Agriculture</t>
  </si>
  <si>
    <t>810ZN</t>
  </si>
  <si>
    <t>WOS:000220742300001</t>
  </si>
  <si>
    <t>Marshall, DJ; Convey, P</t>
  </si>
  <si>
    <t>Latitudinal variation in habitat specificity of ameronothrid mites (Oribatida)</t>
  </si>
  <si>
    <t>EXPERIMENTAL AND APPLIED ACAROLOGY</t>
  </si>
  <si>
    <t>Acari; Antarctic; Arctic; biogeographical distribution; niche specificity; southern hemisphere</t>
  </si>
  <si>
    <t>TERRESTRIAL ARTHROPOD FAUNA; SUB-ANTARCTIC ISLANDS; ACARI-ORIBATIDA; LIFE-HISTORY; LINEATUS ACARI; BIOGEOGRAPHY; DIVERSITY; INVERTEBRATES; ARCHIPELAGO; COMMUNITIES</t>
  </si>
  <si>
    <t>Ameronothroid mites, including Ameronothridae, Fortuyniidae and Selenoribatidae, are unique among the Oribatida through having a global distribution from the tropics to the poles, and occupying a diversity of habitats including terrestrial, marine and freshwater. Their ecological diversification is of considerable interest from both the perspective of evolution over geological timescales, and the detail of the underlying processes. Given their widespread global distribution, it seems likely that historical global events (tectonic and climatic) have played a fundamental role in their ecological diversification. Previous studies of sub-Antarctic island arthropods have generated considerable circumstantial evidence in support of glaciation being a primary factor influencing ecological patterns: lower habitat specificity and weaker interspecific interactions are associated with more recent (postglacial) vegetated terrestrial biotopes, as compared to the older epilithic and littoral biotopes (which are assumed to have been present, albeit reduced in extent, during Neogene glacial maxima). Here, we use ameronothrid mites as a case study to examine the extent to which the above island scenario generalizes globally across latitudes affected by glaciation. We show that, unlike congeners or even conspecifics at lower latitudes in each hemisphere which are restricted to marine environments, the species found at higher latitudes (especially Alaskozetes antarcticus, Ameronothrus dubinini, Ameronothrus lineatus, and Halozetes belgicae) show greater affinity for terrestrial environments. They show a transition or expansion of habitat use (from marine-influenced to terrestrial habitats) implicit with a lower degree of habitat specificity, in relation to increasing latitude. We contend that the terrestrial environment at higher latitudes in both hemispheres has been colonized by these ameronothrid mite species following the various glaciation events, facilitated by a lack of competition experienced in their low diversity communities, in a manner which represents a larger scale demonstration of the processes described on sub-Antarctic islands.</t>
  </si>
  <si>
    <t>Univ Brunei Darussalam, Dept Biol, Gadong 1410, Brunei; British Antarctic Survey, NERC, Cambridge CB3 0ET, England</t>
  </si>
  <si>
    <t>University Brunei Darussalam; UK Research &amp; Innovation (UKRI); Natural Environment Research Council (NERC); NERC British Antarctic Survey</t>
  </si>
  <si>
    <t>Univ Brunei Darussalam, Dept Biol, Jalan Tungku Link, Gadong 1410, Brunei.</t>
  </si>
  <si>
    <t>marshall@fos.ubd.edu.bn</t>
  </si>
  <si>
    <t>Convey, Peter/AAV-5728-2020</t>
  </si>
  <si>
    <t>Convey, Peter/0000-0001-8497-9903; Marshall, David/0000-0003-3771-5950</t>
  </si>
  <si>
    <t>0168-8162</t>
  </si>
  <si>
    <t>1572-9702</t>
  </si>
  <si>
    <t>EXP APPL ACAROL</t>
  </si>
  <si>
    <t>Exp. Appl. Acarol.</t>
  </si>
  <si>
    <t>10.1023/B:APPA.0000044437.17333.82</t>
  </si>
  <si>
    <t>925FY</t>
  </si>
  <si>
    <t>WOS:000229039700003</t>
  </si>
  <si>
    <t>Reid, JE; Bishop, J</t>
  </si>
  <si>
    <t>Reid, James E.; Bishop, John</t>
  </si>
  <si>
    <t>Post-processing calibration of frequency-domain electromagnetic data for sea-ice thickness measurements</t>
  </si>
  <si>
    <t>EXPLORATION GEOPHYSICS</t>
  </si>
  <si>
    <t>Frequency-domain electromagnetics; calibration; geometric sounding; sea-ice thickness</t>
  </si>
  <si>
    <t>Sea-ice thickness measurements using electromagnetic (EM) instruments require accurate data. Calibration of sea-ice thickness data acquired using a low induction number (LIN) EM sensor can be performed by conducting a geometric sounding at a range of heights over level sea ice of known thickness, and by comparing the observed data with the expected layered-earth response. Calibration corrections for scaling, phase-mixing, and zero-offset errors can be derived using least-squares inversion to minimise the misfit between the observed data and the theoretical response, and can be incorporated in modelling algorithms used to determine sea-ice thickness. This paper presents a case history illustrating identification and correction of calibration errors in frequency-domain EM data for Antarctic sea-ice thickness measurements. Comparison of coincident EM measurements made using three EM31 instruments showed that measured apparent conductivities disagreed by up to around 100 mS/m, resulting in errors in the estimated sea-ice thickness of up to 60%. Separate calibration corrections were determined for each instrument by analysis of geometrical sounding data acquired over level sea ice. Sea-ice thickness at the calibration site was determined by making a large number of drilled thickness measurements over the footprint of the EM instrument, and seawater and sea-ice conductivities were determined using independent measurements. Best-fit scaling, phase-mixing, and zero-offset errors were determined via inversion of the geometrical sounding data, with the sea-ice thickness and seawater conductivity fixed at their known values. After application of the calibration corrections, sea-ice thicknesses derived from the three instruments agreed closely with each other and with drilling results. Calibration corrections derived in this manner have been shown to be valid over a period of at least several weeks.</t>
  </si>
  <si>
    <t>[Reid, James E.] Univ Tasmania, Sch Earth Sci, Hobart, Tas 7001, Australia; [Bishop, John] Mitre Geophys Pty Ltd, Sandy Bay, Tas 7006, Australia</t>
  </si>
  <si>
    <t>Reid, JE (corresponding author), Univ Tasmania, Sch Earth Sci, Hobart, Tas 7001, Australia.</t>
  </si>
  <si>
    <t>James.Reid@utas.edu.au; bishop@tassie.net.au</t>
  </si>
  <si>
    <t>Australian Antarctic Science Advisory Committee (ASAC) [2381]</t>
  </si>
  <si>
    <t>Australian Antarctic Science Advisory Committee (ASAC)</t>
  </si>
  <si>
    <t>This research was supported in part by Grant #2381 from the Australian Antarctic Science Advisory Committee (ASAC). We thank the officers and crew of the RSV Aurora Australis for field assistance. Andi Pfaffling, Angus Munro, Kazu Tateyama, Tony Worby, and numerous others assisted with collection of electromagnetic and drillhole data. We thank Guimin Liu and an anonymous reviewer for careful reviews of the original manuscript.</t>
  </si>
  <si>
    <t>0812-3985</t>
  </si>
  <si>
    <t>EXPLOR GEOPHYS</t>
  </si>
  <si>
    <t>Explor. Geophys.</t>
  </si>
  <si>
    <t>10.1071/EG04283</t>
  </si>
  <si>
    <t>V24GJ</t>
  </si>
  <si>
    <t>WOS:000208398600010</t>
  </si>
  <si>
    <t>Arkhipkin, AI; Grzebielec, R; Sirota, AM; Remeslo, AV; Polishchuk, IA; Middleton, DAJ</t>
  </si>
  <si>
    <t>The influence of seasonal environmental changes on ontogenetic migrations of the squid Loligo gahi on the Falkland shelf</t>
  </si>
  <si>
    <t>FISHERIES OCEANOGRAPHY</t>
  </si>
  <si>
    <t>environment; Loligo gahi; migrations; Southwest Atlantic; squid</t>
  </si>
  <si>
    <t>PATAGONIAN SQUID; TEMPERATURE; GROWTH; STOCK</t>
  </si>
  <si>
    <t>The Patagonian longfin squid Loligo gahi undertakes horizontal ontogenetic migrations on the Falkland shelf: juveniles move from spawning grounds located in shallow, inshore waters (20-50 m depths) to feeding grounds near the shelf edge (200-350 m depths). Immature squid feed and grow in these offshore feeding grounds and, upon maturation, migrate back to inshore waters to spawn. The possible influence of environmental factors on L. gahi migrations was investigated using data from oceanographic transects, crossing the region of known L. gahi occurrence. They were made from the inshore waters of East Falkland eastwards to depths of 1250 m on a monthly basis from 1999 to 2001. Four main water types were found in the region: Shelf, Sub-Antarctic Superficial and Antarctic Intermediate water masses, and Transient Zone waters. The inshore spawning grounds occur in the Shelf Water mass, whereas the feeding squid (medium-sized immature and maturing individuals) were associated with the Transient Zone. The 5.5degreesC isotherm appeared to mark the limit of squid distribution into deeper waters in all seasons. Seasonal changes in water mass characteristics and location were found to be important for seasonal changes in L. gahi migrations on the Falkland shelf.</t>
  </si>
  <si>
    <t>Atlantic Res Inst Marine Fisheries &amp; Oceanog, Kaliningrad 236000, Russia</t>
  </si>
  <si>
    <t>aarkhipkin@fisheries.gov.fk</t>
  </si>
  <si>
    <t>1054-6006</t>
  </si>
  <si>
    <t>1365-2419</t>
  </si>
  <si>
    <t>FISH OCEANOGR</t>
  </si>
  <si>
    <t>Fish Oceanogr.</t>
  </si>
  <si>
    <t>10.1046/j.1365-2419.2003.00269.x</t>
  </si>
  <si>
    <t>Fisheries; Oceanography</t>
  </si>
  <si>
    <t>753YA</t>
  </si>
  <si>
    <t>WOS:000187274900001</t>
  </si>
  <si>
    <t>Xiang, SR; Yao, TD; An, LZ; Xu, BQ; Li, Z; Wu, GJ; Wang, YQ; Ma, S; Chen, XR</t>
  </si>
  <si>
    <t>Bacterial diversity in Malan ice core from the Tibetan Plateau</t>
  </si>
  <si>
    <t>FOLIA MICROBIOLOGICA</t>
  </si>
  <si>
    <t>ANTARCTIC SEA-ICE; VIABLE BACTERIA; LAKES</t>
  </si>
  <si>
    <t>Three ice core samples were collected from the Malan ice core drilled from the Tibetan Plateau, and three 16S rDNA clone libraries by direct amplification from the ice-melted water were established. Ninety-four clones containing bacterial 16S rDNA inserts were selected. According to restriction fragment-length polymorphism analysis, 11 clones were unique in the library from which they were obtained and used for partial sequence and phylogenetic analysis, and compared with 8 reported sequences from the same ice core at depth 70 m. Differences among the samples were apparent in clone libraries. The phylotypes were dominated by the Proteobacteria group, Acinetobacter sp. and Cytophaga Flavobacterium Bacteroides (CFB) group. They accounted for 92.5% (Proteobacteria), 100% (Acinetobacter sp.), 34.4% (CFB) and 100% (beta-Proteobacteria) in the clone libraries from the samples at ice depths 35, 64, 70, and 82 m, respectively. The Acinetobacter sp. was only found in the deposition at ice depth 82 m and closely clustered with gamma-Proteobateria. Two members (Malan A-21 and 101) of alpha-Proteobacteria from the sample of 35 m and two (Malan B-26 and 48) of beta-Proteobacteria of 64 m were loosely clustered (&lt;95% similarity) with known bacteria, represented new genera in ice bacteria.</t>
  </si>
  <si>
    <t>Chinese Acad Sci, Cold &amp; Arid Reg Enivronm Engn Res Inst, Lab Ice Core &amp; Cold Reg Environm, Lanzhou 730000, Gansu, Peoples R China; Chinese Acad Sci, Inst Tibetan Plateau, Beijing 100029, Peoples R China; Lanzhou Univ, Sch Life Sci, Lanzhou 730000, Peoples R China; Gansu Agr Univ, Dept Plant Pathol Sci, Lanzhou 730070, Peoples R China</t>
  </si>
  <si>
    <t>Chinese Academy of Sciences; Cold &amp; Arid Regions Environmental &amp; Engineering Research Institute, CAS; Chinese Academy of Sciences; Institute of Tibetan Plateau Research, CAS; Lanzhou University; Gansu Agricultural University</t>
  </si>
  <si>
    <t>Chinese Acad Sci, Cold &amp; Arid Reg Enivronm Engn Res Inst, Lab Ice Core &amp; Cold Reg Environm, Lanzhou 730000, Gansu, Peoples R China.</t>
  </si>
  <si>
    <t>srxiang@ns.lzb.ac.cn</t>
  </si>
  <si>
    <t>0015-5632</t>
  </si>
  <si>
    <t>1874-9356</t>
  </si>
  <si>
    <t>FOLIA MICROBIOL</t>
  </si>
  <si>
    <t>Folia Microbiol.</t>
  </si>
  <si>
    <t>10.1007/BF02931042</t>
  </si>
  <si>
    <t>827BZ</t>
  </si>
  <si>
    <t>WOS:000221874600005</t>
  </si>
  <si>
    <t>Benedetti, M; Gorbi, S; Fattorini, D; Notti, A; Nigro, M; Regoli, F</t>
  </si>
  <si>
    <t>Environmental prooxidant conditions modulate the antioxidant efficiency in early life stages of Antarctic silverfish (Pleuragramma antarcticum)</t>
  </si>
  <si>
    <t>FREE RADICAL BIOLOGY AND MEDICINE</t>
  </si>
  <si>
    <t>11th Annual Meeting of the Society-for-Free-Radical-Biology-and-Medicine</t>
  </si>
  <si>
    <t>NOV 17-21, 2004</t>
  </si>
  <si>
    <t>St Thomas, VI</t>
  </si>
  <si>
    <t>Univ Pisa, Pisa, Italy</t>
  </si>
  <si>
    <t>University of Pisa</t>
  </si>
  <si>
    <t>Fattorini, Daniele/A-2969-2010</t>
  </si>
  <si>
    <t>Fattorini, Daniele/0000-0002-5847-4722</t>
  </si>
  <si>
    <t>0891-5849</t>
  </si>
  <si>
    <t>FREE RADICAL BIO MED</t>
  </si>
  <si>
    <t>Free Radic. Biol. Med.</t>
  </si>
  <si>
    <t>S143</t>
  </si>
  <si>
    <t>S144</t>
  </si>
  <si>
    <t>875YK</t>
  </si>
  <si>
    <t>WOS:000225458900446</t>
  </si>
  <si>
    <t>Estevez, MS; Puntarulo, S</t>
  </si>
  <si>
    <t>Nitric oxide generation upon development of Antarctic Chlorella sp</t>
  </si>
  <si>
    <t>12th Biennial Meeting of the Society-for-Free-Radical-Research-International</t>
  </si>
  <si>
    <t>MAY 05-09, 2004</t>
  </si>
  <si>
    <t>Buenos Aires, ARGENTINA</t>
  </si>
  <si>
    <t>Univ Buenos Aires, Fac Farm &amp; Bioquim, Fisicoquim PRALIB, RA-1113 Buenos Aires, DF, Argentina</t>
  </si>
  <si>
    <t>University of Buenos Aires</t>
  </si>
  <si>
    <t>S137</t>
  </si>
  <si>
    <t>819MY</t>
  </si>
  <si>
    <t>WOS:000221320200362</t>
  </si>
  <si>
    <t>Crame, JA</t>
  </si>
  <si>
    <t>Lomolino, MV; Heaney, LR</t>
  </si>
  <si>
    <t>Pattern and process in marine biogeography: A view from the poles</t>
  </si>
  <si>
    <t>Frontiers of Biogeography: New Directions in the Geography of Nature</t>
  </si>
  <si>
    <t>1st Meeting of the International-Biogeography-Society</t>
  </si>
  <si>
    <t>JAN 04-08, 2003</t>
  </si>
  <si>
    <t>Mesquite, NV</t>
  </si>
  <si>
    <t>Crame, JA (corresponding author), British Antarctic Survey, High Cross,Madingley Rd, Cambridge CB3 0ET, England.</t>
  </si>
  <si>
    <t>SINAUER ASSOC</t>
  </si>
  <si>
    <t>SUNDERLAND</t>
  </si>
  <si>
    <t>SINAUER ASSOC, SUNDERLAND, MA 01375 USA</t>
  </si>
  <si>
    <t>0-87893-479-0</t>
  </si>
  <si>
    <t>Biology; Geography, Physical</t>
  </si>
  <si>
    <t>Life Sciences &amp; Biomedicine - Other Topics; Physical Geography</t>
  </si>
  <si>
    <t>BDC12</t>
  </si>
  <si>
    <t>WOS:000232529500015</t>
  </si>
  <si>
    <t>Dunn, JL; Turnbull, JD; Robinson, SA</t>
  </si>
  <si>
    <t>Comparison of solvent regimes for the extraction of photosynthetic pigments from leaves of higher plants</t>
  </si>
  <si>
    <t>FUNCTIONAL PLANT BIOLOGY</t>
  </si>
  <si>
    <t>beta-carotene; carotenoids; chlorophylls; HPLC; pigment extraction; xanthophyll cycle pigments</t>
  </si>
  <si>
    <t>ULTRAVIOLET-B RADIATION; STRATOSPHERIC OZONE DEPLETION; XANTHOPHYLL CYCLE; ANTARCTIC MOSS; SHADE LEAVES; PHOTOINHIBITION; CAPACITY; HPLC; SUN; PHYTOPLANKTON</t>
  </si>
  <si>
    <t>The relative efficiency of methanol- and acetone-based solvents for the extraction of pigments from photosynthetic tissues of plant was compared, together with the advantages of multiple versus single extractions. The two commonly employed triple acetone extractions (100: 80: 80% and 85: 100: 100%) performed comparably for most pigments and for all plant species tested. Single extractions with either 96% methanol or 85% acetone failed to extract the more hydrophobic pigments, especially beta-carotene. We conclude that multiple extractions that combine pure and aqueous (80 - 85%) acetone are preferable for extraction of the full range of pigments. These results suggest that previous studies that have utilised aqueous methanol ( especially in a single extraction) have probably underestimated the concentration of beta-carotene relative to other pigments.</t>
  </si>
  <si>
    <t>Univ Wollongong, Dept Biol Sci, Inst Conservat Biol, Wollongong, NSW 2522, Australia</t>
  </si>
  <si>
    <t>University of Wollongong</t>
  </si>
  <si>
    <t>Univ Wollongong, Dept Biol Sci, Inst Conservat Biol, Wollongong, NSW 2522, Australia.</t>
  </si>
  <si>
    <t>sharonr@uow.edu.au</t>
  </si>
  <si>
    <t>Robinson, Sharon/B-2683-2008</t>
  </si>
  <si>
    <t>Robinson, Sharon/0000-0002-7130-9617; Turnbull, Johanna/0000-0002-4214-1675</t>
  </si>
  <si>
    <t>1445-4408</t>
  </si>
  <si>
    <t>1445-4416</t>
  </si>
  <si>
    <t>FUNCT PLANT BIOL</t>
  </si>
  <si>
    <t>Funct. Plant Biol.</t>
  </si>
  <si>
    <t>10.1071/FP03162</t>
  </si>
  <si>
    <t>800AS</t>
  </si>
  <si>
    <t>WOS:000220001900010</t>
  </si>
  <si>
    <t>Runcie, JW; Riddle, MJ</t>
  </si>
  <si>
    <t>Measuring variability in chlorophyll-fluorescence-derived photosynthetic parameters in situ with a programmable multi-channel fluorometer</t>
  </si>
  <si>
    <t>1st Meeting of Plant Ecophysiologists (ECOFIZZ)</t>
  </si>
  <si>
    <t>Univ Melbourne, Sch Bot, Melbourne, AUSTRALIA</t>
  </si>
  <si>
    <t>Univ Melbourne, Sch Bot</t>
  </si>
  <si>
    <t>Antarctic; in situ; macroalgae; PAM; quantum yield; rapid light curve</t>
  </si>
  <si>
    <t>ELECTRON-TRANSPORT; EXCHANGE</t>
  </si>
  <si>
    <t>A submersible device was constructed for simultaneous in situ measurement of the effective quantum yield of chlorophyll fluorescence (DeltaF/F-m') of eight macroalgal samples. The device incorporated a commercially available PAM fluorometer. Four samples each of the macroalgae Iridaea mawsonii (Lucas) and Monostroma hariotii (Gain) were examined. DeltaF/F-m' and light-response curves (LCs) were regularly applied over 24 h to estimate diel changes in relative electron transport rates and the relative efficiency of photon conversion at low irradiances (alpha), and the variance attributable to mean values of both DeltaF/F-m' and alpha were estimated. A second commercial single-channel fluorometer provided an independent measure of variability in LC parameters between individual samples, and the magnitude of this variability was within the range measured with the multi-channel device. Between-sample variability at noon, measured with the multi-channel device, was significantly greater than at other times of the day. DeltaF/F-m' of M. hariotii were not significantly different throughout most of the day except at midnight, when values were significantly higher. In contrast, over 24-h only DeltaF/F-m' of I. mawsonii at noon ( growing in low light) was significantly lower. By providing replicate LCs at each time point, the programmable multi-channel fluorometer enables testing of significant differences in photosynthetic parameters over a diel period.</t>
  </si>
  <si>
    <t>Australian Antarctic Div, Kingston, Tas 7050, Australia; Univ Technol Sydney, Gore Hill, NSW 2065, Australia</t>
  </si>
  <si>
    <t>Australian Antarctic Division; University of Technology Sydney</t>
  </si>
  <si>
    <t>john.runcie@uts.edu.au</t>
  </si>
  <si>
    <t>10.1071/FP03213</t>
  </si>
  <si>
    <t>824UW</t>
  </si>
  <si>
    <t>WOS:000221713600017</t>
  </si>
  <si>
    <t>Pérez-Torres, E; García, A; Dinamarca, J; Alberdi, M; Gutiérrez, A; Gidekel, M; Ivanov, AG; Hüner, NPA; Corcuera, LJ; Bravo, LA</t>
  </si>
  <si>
    <t>The role of photochemical quenching and antioxidants in photoprotection of Deschampsia antarctica</t>
  </si>
  <si>
    <t>Antarctic angiosperms; ascorbate peroxidase; glutathione reductase; low temperature; non-photochemical quenching; photochemical quenching; photoinhibition; reactive oxygen species; superoxide dimutase; xanthophyll cycle</t>
  </si>
  <si>
    <t>XANTHOPHYLL CYCLE; OXIDATIVE STRESS; SUPEROXIDE DISMUTASES; GLUTATHIONE-REDUCTASE; VASCULAR PLANTS; PHOTOINHIBITION; ARABIDOPSIS; TEMPERATURE; ENERGY; CHLOROPLASTS</t>
  </si>
  <si>
    <t>Deschampsia antarctica Desv. (Poaceae) is the only grass that grows in the maritime Antarctic. Constant low temperatures and episodes of high light are typical conditions during the growing season at this latitude. These factors enhance the formation of active oxygen species and may cause photoinhibition. Therefore, an efficient mechanism of energy dissipation and/or scavenging of reactive oxygen species (ROS) would contribute to survival in this harsh environment. In this paper, non-acclimated and cold-acclimated D. antarctica were subjected to high light and/or low temperature for 24 h. The contribution of non-photochemical dissipation of excitation light energy and the activities of detoxifying enzymes in the development of resistance to chilling induced photoinhibition were studied by monitoring PSII fluorescence, total soluble antioxidants, and pigments contents and measuring variations in activity of superoxide dismutase (SOD;EC1.15.1.1), ascorbate peroxidase (APX;EC 1.11.1.11), and glutathione reductase (GR; EC 1.6.4.2). The photochemical efficiency of PSII, measured as F-v/F-m, and the yield of PSII electron transport (PhiPSII) both decreased under high light and low temperatures. In contrast, photochemical quenching (qP) in both non-acclimated and cold-acclimated plants remained relatively constant (approximately 0.8) in high-light-treated plants. Unexpectedly, qP was lower (0.55) in cold-acclimated plants exposed to 4degreesC and low light intensity. Activity of SOD in cold-acclimated plants treated with high light at low temperature showed a sharp peak 2-4 h after the beginning of the experiment. In cold-acclimated plants APX remained high with all treatments. Activity of GR decreased in cold-acclimated plants. Compared with other plants, D. antarctica exhibited high levels of SOD and APX activity. Pigment analyses show that the xanthophyll cycle is operative in this plant. We propose that photochemical quenching and particularly the high level of antioxidants help D. antarctica to resist photoinhibitory conditions. The relatively high antioxidant capacity of D. antarctica may be a determinant for its survival in the harsh Antarctic environment.</t>
  </si>
  <si>
    <t>Univ Concepcion, Fac Ciencias Nat &amp; Oceanog, Dept Bot, Concepcion, Chile; Univ Austral Chile, Fac Ciencias, Inst Bot, Valdivia, Chile; Univ La Frontera, Fac Ciencias Agropecuarias &amp; Forestales, Lab Fisiol &amp; Biol Mol Vegetal, Temuco, Chile; Univ Western Ontario, Dept Biol, London, ON N6A 5B7, Canada</t>
  </si>
  <si>
    <t>Universidad de Concepcion; Universidad Austral de Chile; Universidad de La Frontera; Western University (University of Western Ontario)</t>
  </si>
  <si>
    <t>lebravo@udec.cl</t>
  </si>
  <si>
    <t>Bravo, León/AAO-8437-2020; Corcuera, Luis J/G-1714-2014; Bravo, Leon/H-9251-2018</t>
  </si>
  <si>
    <t>Bravo, León/0000-0003-4705-4842; Bravo, Leon/0000-0003-4705-4842; Gidekel, Manuel/0000-0002-6770-4630; Ivanov, Alexander G./0000-0001-7100-9211; Ivanov, Alexander/0000-0001-7910-5494</t>
  </si>
  <si>
    <t>10.1071/FP03082</t>
  </si>
  <si>
    <t>841EV</t>
  </si>
  <si>
    <t>WOS:000222913000006</t>
  </si>
  <si>
    <t>Stamatikos, M</t>
  </si>
  <si>
    <t>Fenimore, EE; Galassi, M</t>
  </si>
  <si>
    <t>AMANDA Collaboration</t>
  </si>
  <si>
    <t>Method for detecting neutrinos from internal shocks in GRB fireballs with AMANDA</t>
  </si>
  <si>
    <t>GAMMA-RAY BURSTS: 30 YEARS OF DISCOVERY</t>
  </si>
  <si>
    <t>AIP CONFERENCE PROCEEDINGS</t>
  </si>
  <si>
    <t>Gamma-Ray Burst Symposium</t>
  </si>
  <si>
    <t>SEP 08-12, 2003</t>
  </si>
  <si>
    <t>Santa Fe, NM</t>
  </si>
  <si>
    <t>GAMMA-RAY BURSTS</t>
  </si>
  <si>
    <t>Neutrino-based astronomy provides a new window on the most energetic processes in he universe. The discovery of high-energy (E greater than or equal to 10(14) eV) muonic neutrinos (v(mu)) from gamma-ray bursts (GRBs) would confirm hadronic acceleration in the relativistic GRB-wind, validate the phenomenology of the canonical fireball model and possibly reveal an acceleration mechanism for the highest energy cosmic rays (CRs). The Antarctic Muon and Neutrino Detector Array (AMANDA) is the world's largest operational neutrino telescope with a PeV muon effective area (averaged over zenith angle) similar to 50,000 m(2). AMANDA uses the natural ice at the geographic South Pole as a Cherenkov medium and has been successfully calibrated on the signal of atmospheric neutrinos (v(atm)). Contrary to previous diffuse searches, we describe an analysis based upon confronting AMANDA observations of individual GRBs, adequately modeled by fireball phenomenology, with the predictions of the canonical fireball model. The expected neutrino flux is directly derived from the fireball model description of the photon spectrum. The expected neutrino event rate is a function of the distribution of each individual burst in measured (or best-estimated) red shift. Strict spatio-temporal constraints (based upon satellite detection) and selection criteria (optimized for sensitivity) will be leveraged to realize a nearly background-free search.</t>
  </si>
  <si>
    <t>Univ Wisconsin, Dept Phys, Madison, WI 53706 USA</t>
  </si>
  <si>
    <t>University of Wisconsin System; University of Wisconsin Madison</t>
  </si>
  <si>
    <t>Stamatikos, M (corresponding author), Univ Wisconsin, Dept Phys, 1150 Univ Ave, Madison, WI 53706 USA.</t>
  </si>
  <si>
    <t>Hundertmark, Stephan/A-6592-2010</t>
  </si>
  <si>
    <t>2 HUNTINGTON QUADRANGLE, STE 1NO1, MELVILLE, NY 11747-4501 USA</t>
  </si>
  <si>
    <t>0094-243X</t>
  </si>
  <si>
    <t>0-7354-0208-6</t>
  </si>
  <si>
    <t>AIP CONF PROC</t>
  </si>
  <si>
    <t>BBC21</t>
  </si>
  <si>
    <t>WOS:000224719700029</t>
  </si>
  <si>
    <t>Venkatesan, MI; Kaplan, IR; Southon, J</t>
  </si>
  <si>
    <t>Hill, RJ; Leventhal, J; Aizenshtat, Z; Baedecker, MJ; Claypool, G; Eganhouse, R; Goldhaber, M; Peters, K</t>
  </si>
  <si>
    <t>Stable and radiocarbon isotopes and carbon cycling in coastal sediments</t>
  </si>
  <si>
    <t>GEOCHEMICAL INVESTIGATIONS IN EARTH AND SPACE SCIENCE: A TRIBUTE TO ISSAC R. KAPLAN</t>
  </si>
  <si>
    <t>GEOCHEMICAL SOCIETY SPECIAL PUBLICATIONS</t>
  </si>
  <si>
    <t>Annual Meeting of the Geological-Society-of-America</t>
  </si>
  <si>
    <t>OCT 27-30, 2002</t>
  </si>
  <si>
    <t>Denver, CO</t>
  </si>
  <si>
    <t>SANTA-MONICA BASIN; COMPOUND-SPECIFIC RADIOCARBON; TERRESTRIAL ORGANIC-MATTER; MARINE-SEDIMENTS; SOURCE INDICATORS; SURFACE SEDIMENT; MCMURDO SOUND; FATTY-ACIDS; ROSS SEA; GEOCHEMISTRY</t>
  </si>
  <si>
    <t>Carbon cycling in coastal sediments was investigated using stable isotopes of carbon and nitrogen and radiocarbon isotope of various compound class fractions from a subsurface sediment section (30-50 cm) of Santa Monica Basin (SMB) and a composite of six surface grab sediments from McMurdo Sound, Antarctica. The range of stable isotope ratios reflects a mixture of terrestrial and marine inputs in the SMB sediments. By contrast, the uniformity of the carbon isotopic signature in the Antarctic sediments is characteristic of a dominantly planktonic contribution. Additional information on sources, particle processing and organic matter preservation was obtained by integrating the stable isotope data with radiocarbon measurements and molecular composition of the same fractions. Inputs of carbon from submarine seeps in coastal sediment are obvious from the relatively older age observed in the aliphatic and aromatic hydrocarbon fractions from the sediments of SMB. On the other hand, eroded sedimentary sequences containing coal could have imparted a non-recent age to the aliphatic and aromatic fractions in the Antarctic sediments. A major biogenic origin is evident from the younger age of most of the Antarctic sediment organic fractions compared to those from SMB. The humic and fulvic acid fractions from both the regions of investigation exhibit relatively young age in the range of 760-1700 BP. In contrast, protokerogen is much older (5470 and 8770 BP, respectively) than the humic and fulvic acids in both the sample locations. This suggests that protokerogen is more likely derived from the selective accumulation and preservation of refractory residues of biological organic components rather than being generated by in situ humification. These results have important implications to the carbon cycling in coastal sediments and in understanding the formation of kerogen.</t>
  </si>
  <si>
    <t>Univ Calif Los Angeles, Inst Geophys &amp; Planetary Phys, Los Angeles, CA 90095 USA</t>
  </si>
  <si>
    <t>University of California System; University of California Los Angeles</t>
  </si>
  <si>
    <t>Venkatesan, MI (corresponding author), Univ Calif Los Angeles, Inst Geophys &amp; Planetary Phys, Los Angeles, CA 90095 USA.</t>
  </si>
  <si>
    <t>0-444-51647-6</t>
  </si>
  <si>
    <t>GEO SOC S P</t>
  </si>
  <si>
    <t>BBD00</t>
  </si>
  <si>
    <t>WOS:000224951800009</t>
  </si>
  <si>
    <t>Iizuka, T; Hirata, T</t>
  </si>
  <si>
    <t>Simultaneous determinations of U-Pb age and REE abundances for zircons using ArF excimer laser ablation-ICPMS</t>
  </si>
  <si>
    <t>GEOCHEMICAL JOURNAL</t>
  </si>
  <si>
    <t>zircon; ICPMS; excimer laser; U-Pb; REE</t>
  </si>
  <si>
    <t>INDUCTIVELY-COUPLED PLASMA; RARE-EARTH ELEMENTS; ION MASS-SPECTROMETRY; TRACE-ELEMENT; DETRITAL ZIRCONS; MS; GEOCHRONOLOGY; MICROPROBE; MINERALS; GLASS</t>
  </si>
  <si>
    <t>Using a laser ablation-inductively coupled plasma mass spectrometer (LA-ICPMS), U-Pb age and rare earth element (REE) abundances have been determined simultaneously from a single 20 mum ablation pit of zircon. The laser ablation system utilizing 193 nm wave-length ArF excimer laser produces stable and reproducible signal intensities resulted in good precisions on measurements of element concentrations and isotopic ratios. Because of the higher energy density of the deep ultra-violet laser beam, ablation fractionation between Pb and U were reduced even with the prolonged ablation, and thus accuracy of Pb-U age was improved significantly. A chicane-type ion lens system was applied to a quadrupole-based ICPMS instrument. With the chicane ion lens, higher elemental sensitivity (4 times for light mass range and 3 times for mid to heavy mass range) and lower white background (&lt;5 cps for light to mid mass range and &lt;2 cps for heavy mass range) were achieved. This further improved analytical precisions for low concentration elements in samples. The U-238-Pb-206 ages for Nancy standard zircon (Nancy 91500), SHRIMP calibration standard zircon (SL13) and Antarctic zircon (PMA7) obtained in this study were 1064 +/- 24 Ma, 569 +/- 78 Ma and 2438 +/- 101 Ma (2-sigma), respectively. Relative age differences from previous reports were 0.2%, 0.4% and 3.2% respectively, demonstrative of high reliability of the method. The REE abundances in zircon samples were calibrated using a NIST 610 glass standard reference material. The resulting REE abundance data for zircons (Nancy 91500 and SL13) show good agreement with those for literature values within the analytical precision of similar to20%. The matrix effect that may occur between the synthetic glass standard and zircon crystals is obviously smaller than the precision and thus negligible for this precision levels. The data presented here demonstrate clearly that the combination of ArF excimer laser and ICPMS equipped with the chicane ion lens has a potential to become a significant tool for zircon geochemistry.</t>
  </si>
  <si>
    <t>Tokyo Inst Technol, Lab Planetary Sci, Tokyo 1528551, Japan</t>
  </si>
  <si>
    <t>Tokyo Institute of Technology</t>
  </si>
  <si>
    <t>Tokyo Inst Technol, Lab Planetary Sci, 2-12-1 Ookayama, Tokyo 1528551, Japan.</t>
  </si>
  <si>
    <t>tiiduka@geo.titech.ac.jp</t>
  </si>
  <si>
    <t>IIZUKA, Tsuyoshi/E-5332-2010</t>
  </si>
  <si>
    <t>IIZUKA, Tsuyoshi/0000-0001-7896-5812</t>
  </si>
  <si>
    <t>GEOCHEMICAL SOC JAPAN</t>
  </si>
  <si>
    <t>358-5 YAMABUKI-CHO, SHINJUKU-KU, TOKYO, 162-0801, JAPAN</t>
  </si>
  <si>
    <t>0016-7002</t>
  </si>
  <si>
    <t>1880-5973</t>
  </si>
  <si>
    <t>GEOCHEM J</t>
  </si>
  <si>
    <t>Geochem. J.</t>
  </si>
  <si>
    <t>10.2343/geochemj.38.229</t>
  </si>
  <si>
    <t>846GK</t>
  </si>
  <si>
    <t>WOS:000223303500003</t>
  </si>
  <si>
    <t>Staubwasser, M; Henderson, GM; Berkman, PA; Hall, BL</t>
  </si>
  <si>
    <t>Ba, Ra, Th, and U in marine mollusc shells and the potential of 226Ra/Ba dating of Holocene marine carbonate shells</t>
  </si>
  <si>
    <t>SOUTHERN-OCEAN; MONSOON CLIMATE; AGE CALIBRATION; ARABIAN SEA; SEDIMENTS; RADIUM; BARIUM; RADIOCARBON; TH-230; ATLANTIC</t>
  </si>
  <si>
    <t>The geochemistry of Ba, Ra, Th, and U and the potential of using 226 Ra[Ba ratios as an alternative dating method are explored in modern and Holocene marine mollusc shells. Five modern shells of the Antarctic scallop Adamussium colbecki collected from the present day beach and six radiocarbon dated specimens from Holocene beach terraces of the Ross Sea region (Antarctic) between 700 and 6100 calibrated yr BP old have been analysed by mass spectrometry. In clean shells Ra-226 concentrations and Ra-226/Ba ratios show a clear decrease with increasing age, suggesting the possibility of Ra-226 dating. Limiting factors for such dating are Ba and Ra-226 present in surface contaminants, and ingrowth of Ra-226 from U present within the shell. Surface contamination is difficult to clean off entirely, but moderate levels of residual contamination can be corrected using Th-232. Sub-samples from the same shell with different proportions of contamination form a mixing line in a Ra-226/(BaTh)-Th-232/Ba graph, and the Ra-226/Ba of the pure shell can be derived from the intercept on the Ra-226/Ba axis. Contaminant corrected Ra-226/Ba ratios of late-Holocene C-14-dated samples fall close to that expected from simple Ra-226 excess decay from seawater Ra-226/Ba values. Ra-226 ingrowth from U incorporated into the shell during the lifetime of the mollusc can be corrected for. However, the unknown timing of postmortem U uptake into the shell makes a correction for Ra-226 ingrowth from secondary U Ra-226 difficult to achieve. In the A. colbecki shells, Ra ingrowth from such secondary U becomes significant only Ra-226 when ages exceed similar to2500 yr. In younger shells, Ra-226/Ba ratios corrected for surface contamination provide chronological information. If evidence for a constant oceanic relationship between Ra-226 and Ba in the ocean can be confirmed for that time scale, the Ra-226/Ba chronometer may enable the reconstruction of variability in sea surface C-14 reservoir ages from mollusc shells and allow its use as a paleoceanographic tracer. Copyright (C) 2004 Elsevier Ltd.</t>
  </si>
  <si>
    <t>Univ Oxford, Dept Earth Sci, Oxford OX1 3PR, England; Univ Maine, Dept Geol Sci, Orono, ME 04469 USA; Univ Maine, Inst Quaternary &amp; Climate Studies, Orono, ME 04469 USA; Ohio State Univ, Byrd Polar Res Ctr, Columbus, OH 43210 USA</t>
  </si>
  <si>
    <t>University of Oxford; University of Maine System; University of Maine Orono; University of Maine System; University of Maine Orono; University System of Ohio; Ohio State University</t>
  </si>
  <si>
    <t>Univ Oxford, Dept Earth Sci, Oxford OX1 3PR, England.</t>
  </si>
  <si>
    <t>michaels@earth.ox.ac.uk</t>
  </si>
  <si>
    <t>Staubwasser, Michael/N-4021-2015</t>
  </si>
  <si>
    <t>Henderson, Gideon/0000-0002-6279-7137; Staubwasser, Michael/0000-0002-5892-1115</t>
  </si>
  <si>
    <t>10.1016/S0016-7037(03)00279-5</t>
  </si>
  <si>
    <t>760TX</t>
  </si>
  <si>
    <t>WOS:000187851900007</t>
  </si>
  <si>
    <t>Dowdeswell, JA; O Cofaigh, C; Pudsey, CJ</t>
  </si>
  <si>
    <t>Thickness and extent of the subglacial till layer beneath an Antarctic paleo-ice stream</t>
  </si>
  <si>
    <t>paleo-ice streams; subglacial environment; deformation till; Antarctic Peninsula; Quaternary</t>
  </si>
  <si>
    <t>SHEET; SEA</t>
  </si>
  <si>
    <t>Fast-flowing ice streams and outlet glaciers currently account for as much as 90% of the discharge from the Antarctic and Greenland Ice Sheets. Although the deformation of subglacial material has been proposed as the mechanism for this rapid motion, such sediment is usually hidden under several kilometers of ice. Marine-geophysical records have allowed reconstruction of the three-dimensional thickness of the sedimentary bed beneath a large Antarctic paleo-ice stream for the first time. Fast flow is indicated by streamlined seafloor lineations that form the surface of a layer of low shear strength, unsorted sediment, averaging 4.6 m thick. Rapid motion of the paleo-ice stream was a result of subglacial deformation within this layer.</t>
  </si>
  <si>
    <t>Ó Cofaigh, Colm/D-9131-2012</t>
  </si>
  <si>
    <t>10.1130/G19864.1</t>
  </si>
  <si>
    <t>765EH</t>
  </si>
  <si>
    <t>WOS:000188253800004</t>
  </si>
  <si>
    <t>Siddoway, CS; Baldwin, SL; Fitzgerald, PG; Fanning, CM; Luyendyk, BP</t>
  </si>
  <si>
    <t>Ross Sea mylonites and the timing of intracontinental extension within the West Antarctic rift system</t>
  </si>
  <si>
    <t>West Antarctica; intracontinental extension; thermochronology; U-PbSHRIMP; mylonite</t>
  </si>
  <si>
    <t>MARIE-BYRD-LAND; NORTHERN FORD-RANGES; TRANSANTARCTIC MOUNTAINS; REGION; GEOCHRONOLOGY; EVOLUTION; MOTION; ORIGIN; EAST; USA</t>
  </si>
  <si>
    <t>There are few direct constraints on the timing and style of faulting in the Ross Sea sector of the West Antarctic rift system, although Cretaceous plate reconstructions indicate that Ross Sea extension between East and West Antarctica occurred prior to breakup of the Gondwana margin ca. 80 Ma. Mylonitic gneisses dredged from the eastern Ross Sea indicate shear-zone deformation considerably earlier, at 98-95 Ma. Strain analysis of fabrics indicates 85%-100% extension. Overprinting brittle structures record translation of shear-zone gneisses into the upper crust. Samples yield sensitive high-resolution ion-microprobe U-Pb zircon ages of 102-97 Ma, correlated to Byrd Coast Granite onshore, and concordant (40)Ar/(39)Ar biotite and K-feldspar ages of 98-95 Ma, indicating that granites were mylonitized soon after emplacement and cooled rapidly. Apatite fission-track data corroborate this rapid cooling event, and reveal a second rapid cooling event ca. 80 Ma. Evidence for contemporaneous deformation and a similar thermal evolution at Deep Sea Drilling Project Site 270 on the Ross Sea central high and for a migmatite dome on land attests to the regional extent of intracontinental extension. Extension occurred at a time of complex microplate interactions along the Cretaceous active Gondwana margin, suggesting that distributed deformation in the overriding Antarctic plate may be related to plate boundary dynamics.</t>
  </si>
  <si>
    <t>Colorado Coll, Dept Geol, Colorado Springs, CO 80903 USA; Syracuse Univ, Dept Earth Sci, Syracuse, NY 13244 USA; Australian Natl Univ, Res Sch Earth Sci, Canberra, ACT 0200, Australia; Univ Calif Santa Barbara, Dept Geol Sci, Santa Barbara, CA 93106 USA</t>
  </si>
  <si>
    <t>Colorado College; Syracuse University; Australian National University; University of California System; University of California Santa Barbara</t>
  </si>
  <si>
    <t>Siddoway, CS (corresponding author), Colorado Coll, Dept Geol, Colorado Springs, CO 80903 USA.</t>
  </si>
  <si>
    <t>csiddoway@coloradocollege.edu</t>
  </si>
  <si>
    <t>Siddoway, Christine/HKV-0895-2023; Yakymchuk, Chris/H-1297-2013; Fanning, Christopher Mark/I-6449-2016</t>
  </si>
  <si>
    <t>Siddoway, Christine Smith/0000-0003-0478-6138; Fanning, Christopher Mark/0000-0003-3331-3145</t>
  </si>
  <si>
    <t>0016-8505</t>
  </si>
  <si>
    <t>10.1130/G20005.1</t>
  </si>
  <si>
    <t>WOS:000188253800015</t>
  </si>
  <si>
    <t>Kokin, GA; Korneeva, LV</t>
  </si>
  <si>
    <t>Role of a corpuscular source in formation of the nighttime ionospheric D region over Molodezhnaya station (the Antarctic regions)</t>
  </si>
  <si>
    <t>GEOMAGNETISM AND AERONOMY</t>
  </si>
  <si>
    <t>MIDDLE; MODEL</t>
  </si>
  <si>
    <t>It is shown that the precipitating electrons play the main role in the formation of the nighttime ion-ospheric D region over Molodezhnaya station located below the Southern auroral oval. Results of the experimental data processing made it possible to determine the lambda parameter for the primary ions O-2(-), the ion production rate, and the electron flux. Independent measurements of electrons with energies E &gt; 40 keV made it possible to calculate the electron flux distribution with height. The estimated values of the effective ionization coefficient and values of the neutral particle concentration allowed us to independently determine the ion production rate.</t>
  </si>
  <si>
    <t>Cent Aerol Observ, Dolgoprudnyi 141700, Moscow Oblast, Russia</t>
  </si>
  <si>
    <t>Kokin, GA (corresponding author), Cent Aerol Observ, Ul Perwomaiskya 3, Dolgoprudnyi 141700, Moscow Oblast, Russia.</t>
  </si>
  <si>
    <t>0016-7932</t>
  </si>
  <si>
    <t>GEOMAGN AERONOMY+</t>
  </si>
  <si>
    <t>Geomagn. Aeron.</t>
  </si>
  <si>
    <t>777RN</t>
  </si>
  <si>
    <t>WOS:000189191500012</t>
  </si>
  <si>
    <t>Guglielmin, M</t>
  </si>
  <si>
    <t>Observations on permafrost ground thermal regimes from Antarctica and the Italian Alps, and their relevance to global climate change</t>
  </si>
  <si>
    <t>International Conference on Global Climate Changes During the Late Quarternary</t>
  </si>
  <si>
    <t>MAY 03-04, 2001</t>
  </si>
  <si>
    <t>ROME, ITALY</t>
  </si>
  <si>
    <t>permafrost; active layer; climate change; paleoclimate</t>
  </si>
  <si>
    <t>TEMPERATURES</t>
  </si>
  <si>
    <t>Active-layer monitoring and the permafrost thermal regime are key indicators of climate change. The results of 3 years (1997-1999) of active-layer monitoring at one high-mountain site (La Foppa, 46degrees28' 42 N; 10degrees11' 18 E, 2670 m a.s.l.) and at one Antarctic site (Boulder Clay, 74degrees44' 45 S; 164degrees01' 17 E, 205 m a.s.l) are presented. The initial analysis of a thermal profile in a borehole (100.3 m deep) within mountain permafrost at Stelvio (3000 m a.s.l., 46degrees30' 59N; 10degrees28' 35 E) is also presented. At the alpine site, the active-layer thickness variations (between 193 and 229 cm) relate to both the snow cover and to the air temperature changes. By contrast, at the Antarctic site, there is a strong direct linkage only between air temperature fluctuations and active-layer variations. At the alpine (La Foppa) site, the relationship between climate and active-layer thickness is complicated by thermal offset that is almost negligible at both the Stelvio and Antarctic sites. The permafrost temperature profile at Stelvio site contains a climate signal suitable for paleoclimate reconstruction. The permafrost at this site has a mean annual ground surface temperature (MAGST) of - 1.9degreesC (during 1998/1999), an active layer of about 2.5 in thick and a total thickness of - 200 m. Analysis of the MAGST history, obtained by applying a simple heat conduction one-dimensional model, revealed the occurrence of a cold period from 1820 to 1940 followed by a warming period until 1978. Since the beginning of the 1980s, temperature dropped (less than 2degreesC) until the middle 1990s, when a new period of warming started. All these climatic changes fit well with the glacial fluctuations in the area and with other paleoclimatic information derived from different proxy data. (C) 2003 Elsevier B.V. All rights reserved.</t>
  </si>
  <si>
    <t>Univ Insubria, I-21100 Varese, Italy</t>
  </si>
  <si>
    <t>University of Insubria</t>
  </si>
  <si>
    <t>Univ Insubria, Via JH Dunant 3, I-21100 Varese, Italy.</t>
  </si>
  <si>
    <t>10.1016/S0921-8181(03)00106-1</t>
  </si>
  <si>
    <t>760HA</t>
  </si>
  <si>
    <t>WOS:000187804500014</t>
  </si>
  <si>
    <t>Reading, AM</t>
  </si>
  <si>
    <t>The seismic structure of Wilkes Land/Terre Adelie, East Antarctica and comparison with Australia: First steps in reconstructing the deep lithosphere of Gondwana</t>
  </si>
  <si>
    <t>GONDWANA RESEARCH</t>
  </si>
  <si>
    <t>11th Gondwana Conference</t>
  </si>
  <si>
    <t>AUG 25-30, 2002</t>
  </si>
  <si>
    <t>UNIV CANTERBURY, CHRISTCHURCH, NEW ZEALAND</t>
  </si>
  <si>
    <t>UNIV CANTERBURY</t>
  </si>
  <si>
    <t>seismic structure; receiver function; East Antarctica; Australia; Gondwana</t>
  </si>
  <si>
    <t>TECTONIC EVOLUTION; BENEATH; INVERSION; ALGORITHM; CRUSTAL</t>
  </si>
  <si>
    <t>A determination of the seismic structure of the crust and uppermost mantle of East Antarctica, in the region of Casey station, Wilkes Land and Dumont D'Urville station, Terre Adelie is presented. High-fidelity waveforms from teleseismic earthquakes recorded at stations CASY and DRV (1996-2001) are used to calculate the seismic receiver function, the signal produced as energy passes through layers in the seismic velocity structure under the receiving station. The receiver functions are stacked to improve the signal-to-noise ratio and then modelled using an inverse algorithm to find the structure that best fits the observed waveform at each station. Inferences are made regarding the tectonic structure, in particular, the crustal thickness and character of the seismic Moho. The crustal thickness under Casey Station is found to be 30 km (+/- 2 km) with a fairly sharp Moho, considerably less than Dumont D'Urville Station, where the crustal thickness is 42 km, and there is a significant low velocity region in the deep crust. The structure of the Wilkes Land lithosphere is comparable to that of the Albany-Fraser Orogen, Western Australia, part of its conjugate margin. This places a new constraint on the relative position of East Antarctica and Australia in the reconstruction of Gondwana, and earlier, supercontinents. A recent reinterpretation of Antarctic geology proposes tectonic province boundaries trending perpendicular to the coast with counterparts in southern Australia. Seismic techniques, determining structure beneath regions with no surface exposure, are vital tools in testing such tectonic hypotheses, towards the reconstruction of Gondwana to full lithospheric depth.</t>
  </si>
  <si>
    <t>Australian Natl Univ, Res Sch Earth Sci, Canberra, ACT 0200, Australia</t>
  </si>
  <si>
    <t>Australian National University</t>
  </si>
  <si>
    <t>Australian Natl Univ, Res Sch Earth Sci, Canberra, ACT 0200, Australia.</t>
  </si>
  <si>
    <t>anya@rses.anu.edu.au</t>
  </si>
  <si>
    <t>Reading, Anya M/E-6728-2012</t>
  </si>
  <si>
    <t>Reading, Anya M/0000-0002-9316-7605</t>
  </si>
  <si>
    <t>1342-937X</t>
  </si>
  <si>
    <t>1878-0571</t>
  </si>
  <si>
    <t>GONDWANA RES</t>
  </si>
  <si>
    <t>Gondwana Res.</t>
  </si>
  <si>
    <t>10.1016/S1342-937X(05)70303-8</t>
  </si>
  <si>
    <t>760TV</t>
  </si>
  <si>
    <t>Green Submitted, Green Accepted</t>
  </si>
  <si>
    <t>WOS:000187851700003</t>
  </si>
  <si>
    <t>Kanao, M; Ishikawa, M; Yamashita, M; Kaminuma, K; Brown, LD</t>
  </si>
  <si>
    <t>Structure and evolution of the East Antarctic Lithosphere: Tectonic implications for the development and dispersal of Gondwana</t>
  </si>
  <si>
    <t>Gondwana 11 Conference</t>
  </si>
  <si>
    <t>Lithospheric structure; continental evolution; East Antarctic Shield; Gondwana supercontinent</t>
  </si>
  <si>
    <t>LOWER CONTINENTAL-CRUST; UPPER-MANTLE STRUCTURE; SEISMIC-REFLECTION; SURROUNDING OCEANS; STRUCTURE BENEATH; CANADA; VELOCITY; PLUMES; WATER; ZONE</t>
  </si>
  <si>
    <t>Lithospheric evolution of the Antarctic shield is one of the keystones for understanding continental growth during the Earth's evolution. Architecture of the East Antarctic craton is characterized by comparison with deep structures of the other Precambrian terrains. In this paper, we review the subsurface structure of the Lower Paleozoic metamorphic complex around the Lutzow-Holm area (LHC), East Antarctica, where high-grade metamorphism occurred during the Pan-African orogenic event. LHC is considered to be one of the collision zones in the last stage of the formation of Gondwana. A geoscience program named 'Structure and Evolution of the East Antarctic Lithosphere (SEAL)' was carried out since 1996-1997 austral summer season as part of the Japanese Antarctic Research Expedition (JARE). Several geological and geophysical surveys were conducted including a deep seismic refraction/wide-angle reflection survey in the LHC. The main target of the SEAL seismic transect was to obtain lithospheric structure over several geological terrains from the western adjacent Achaean Napier Complex to the eastern Lower Paleozoic Yamato-Belgica Complex. The SEAL program is part of a larger deep seismic profile, LEGENDS (Lithospheric Evolution of Gondwana East iNterclisciplinary Deep Surveys) that will extend across the Pan-African belt in neighboring fragments of Gondwana.</t>
  </si>
  <si>
    <t>Natl Inst Polar Res, Itabashi Ku, Tokyo 1738515, Japan; Yokohama Natl Univ, Grad Sch Environm &amp; Informat Sci, Hodogaya Ku, Yokohama, Kanagawa 2408501, Japan; Grad Univ Adv Studies, Dept Polar Sci, Itabashi Ku, Tokyo 1738515, Japan; Cornell Univ, Inst Study Continents, Dept Geol Sci, Ithaca, NY 14853 USA</t>
  </si>
  <si>
    <t>Research Organization of Information &amp; Systems (ROIS); National Institute of Polar Research (NIPR) - Japan; Yokohama National University; Graduate University for Advanced Studies - Japan; Cornell University</t>
  </si>
  <si>
    <t>Kanao, M (corresponding author), Natl Inst Polar Res, Itabashi Ku, 1-9-10 Kaga, Tokyo 1738515, Japan.</t>
  </si>
  <si>
    <t>ISHIKAWA, MASAHIRO/P-5342-2014</t>
  </si>
  <si>
    <t>ISHIKAWA, MASAHIRO/0000-0003-1628-3116</t>
  </si>
  <si>
    <t>INT ASSOC GONDWANA RESEARCH</t>
  </si>
  <si>
    <t>KOCHI</t>
  </si>
  <si>
    <t>KOCHI UNIV, FACULTY SCIENCE AKEBONO-CHO 2-5-1, KOCHI, 780-8520, JAPAN</t>
  </si>
  <si>
    <t>10.1016/S1342-937X(05)70304-X</t>
  </si>
  <si>
    <t>WOS:000187851700004</t>
  </si>
  <si>
    <t>Elliot, DH; Fleming, TH</t>
  </si>
  <si>
    <t>Occurrence and dispersal of magmas in the Jurassic Ferrar Large Igneous Province, Antarctica</t>
  </si>
  <si>
    <t>Ferrar; magma; dispersal; sill; dyke</t>
  </si>
  <si>
    <t>VICTORIA LAND ANTARCTICA; TRANSANTARCTIC MOUNTAINS; DOLERITE SILLS; FLOOD BASALTS; ALLAN-HILLS; NEW-ZEALAND; U-PB; INTRUSION; ORIGIN; CONSTRAINTS</t>
  </si>
  <si>
    <t>Tholeiitic rocks of the Ferrar Large Igneous Province (FLIP) occur in a linear belt from the Theron Mountains to Horn Bluff in the Transantarctic Mountains and extend into southeastern Australasia. The FLIP was emplaced during the initial stages of Gondwana break-up from a source suggested to be in the proto-Weddell Sea region. Magma transport from its source (Weddell triple junction) was controlled by an Early Jurassic zone of extension. The FLIP comprises the Dufek intrusion, Ferrar Dolerite sills and dykes (sheet intrusions), and extrusive rocks consisting of pyroclastic strata overlain by Kirkpatrick Basalt lavas. The Dufek intrusion occurs in deformed supracrustal rocks of the foldbelt along the paleo-Pacific Gondwana margin. A few sills were emplaced in basement rocks, but the majority of the sheet intrusions occur in flat-lying Devonian to Triassic Beacon strata. Only in the central Transantarctic Mountains (CTM) and south and north Victoria Land (SVL, NVL) are extrusive rocks preserved overlying Beacon strata. The greatest cumulative thicknesses of magmatic rocks (ca. 2 km) occur in areas where lavas are preserved (CTM and SVL). Sheet intrusions have complex relationships. Dyke swarms (sensu stricto) are unknown and dykes cutting basement rocks are uncommon. Nevertheless, these dykes, including a 30-m-wide dyke in SVL, suggest that some magmas locally migrated up through basement rocks. In CTM and NVL the outcrop belt has a width of about 160 km. Sills originally extended farther toward the plate margin but have been cut out by erosion and Cenozoic faulting, most clearly in CTM; geophysical data suggest extension under the East Antarctic ice sheet for at least 100 km. Although Early Jurassic extension is documented in CTM, major rift-bounding faults have not been observed. Models for magma emplacement include transport along the axis of the Transantarctic Mountains and off-axis transport from major rift-bounding faults. Contrasts in geochemistry between lavas of NVL (MgO=6-7%) and CTM (MgO=2-4%) and the presence of massive dolerite bodies (CTM, SVL) suggest discrete episodes and locations of magma emplacement, and that there was no long range interconnection along the mountain range in supracrustal rocks.</t>
  </si>
  <si>
    <t>Ohio State Univ, Dept Geol Sci, Columbus, OH 43210 USA; So Connecticut State Univ, Dept Earth Sci, New Haven, CT 06515 USA</t>
  </si>
  <si>
    <t>University System of Ohio; Ohio State University; Connecticut State University System; Southern Connecticut State University</t>
  </si>
  <si>
    <t>Ohio State Univ, Dept Geol Sci, Columbus, OH 43210 USA.</t>
  </si>
  <si>
    <t>elliot.1@osu.edu; fleming@southernct.edu</t>
  </si>
  <si>
    <t>Fleming, Thomas/0000-0001-7091-7699</t>
  </si>
  <si>
    <t>10.1016/S1342-937X(05)70322-1</t>
  </si>
  <si>
    <t>WOS:000187851700022</t>
  </si>
  <si>
    <t>Winterton, RL; Livermore, RA</t>
  </si>
  <si>
    <t>A customised GIS to aid Gondwana Research</t>
  </si>
  <si>
    <t>GIS; reconstruction; large igneous provinces; Gondwana break-up; paleogeography</t>
  </si>
  <si>
    <t>BREAK-UP; PATTERNS</t>
  </si>
  <si>
    <t>Geographical information Systems (GIS) provide tools for manipulating and analysing the large thematic datasets associated with Gondwana research. We have used a customised version of Environmental Systems Research Institute's ArcGIS, version 8.2, as the basis of our 'Gondwana and Southern Ocean Computer Model' (GSCM). The additional functionality necessary for paleogeographic work was written in Visual Basic for Applications (VBA), and includes routines for assigning data to the relevant plates (Plate Sieving) and transformation from present to paleo-coordinates (Rotate Data). The sieving function employs a user-supplied plate network, so that the same data can be assigned to different plate systems at different scales. Paleo-coordinate transformations are handled entirely within ArcGIS, preserving the links to data attributes, and thereby permitting spatial analysis with continents in their former configuration. We give a detailed description of these functions, together with some simple examples of the system's capabilities using data to large igneous provinces.</t>
  </si>
  <si>
    <t>Winterton, RL (corresponding author), British Antarctic Survey, NERC, High Cross,Madingley Rd, Cambridge CB3 0ET, England.</t>
  </si>
  <si>
    <t>rowi@bas.ac.uk</t>
  </si>
  <si>
    <t>Livermore, Roy/M-1566-2019</t>
  </si>
  <si>
    <t>10.1016/S1342-937X(05)70326-9</t>
  </si>
  <si>
    <t>WOS:000187851700026</t>
  </si>
  <si>
    <t>Dempsey, JT; Storey, JWV; Ashley, MCB; Burton, MG; Calisse, PG; Jarnyk, MA</t>
  </si>
  <si>
    <t>Moorwood, AFM; Iye, M</t>
  </si>
  <si>
    <t>AFOS: probing the UV-visible potential of the Antarctic Plateau</t>
  </si>
  <si>
    <t>GROUND-BASED INSTRUMENTATION FOR ASTRONOMY, PTS 1-3</t>
  </si>
  <si>
    <t>Proceedings of SPIE</t>
  </si>
  <si>
    <t>Conference on Ground-based Instrumentation for Astronomy</t>
  </si>
  <si>
    <t>JUN 21-25, 2004</t>
  </si>
  <si>
    <t>Glasgow, SCOTLAND</t>
  </si>
  <si>
    <t>optical astronomy; fibre optics; Antarctica</t>
  </si>
  <si>
    <t>The Antarctic Fiber-Optic Spectrometer (AFOS) is a 30cm Newtonian optical telescope that injects light through six 30m long optical fibers onto a 240-850nm spectrograph with a 1024 x 256 pixel CCD camera. The telescope is mounted on a dual telescope altitude-azimuth mount and has been designed to measure the transperency of the atmosphere above the South Pole for astronomy in the UV and visible wavelength regions. The instrument has observed a series of bright O and B stars during the austral winters of 2002 and 2003 to probe the UV cutoff wavelength, the auroral intensity and water vapour content in the atmosphere above the plateau. AFOS is the first completely automated optical telescope on the Antarctic Plateau. This paper reports on the results of the past two austral winters of remote observing with the telescope as well as the technical and software modifications required to improve the quality and automation of the observations. The atmospheric absorption bands in the 660-900nm regions of the spectra have been fitted with MODTRAN atmospheric models and used to calculate the precipitable water vapour above the South Pole. These data are then compared to those collected concurrently by radiosonde and by a 350mum submillimeter tipper at South Pole.</t>
  </si>
  <si>
    <t>Univ New S Wales, Sch Phys, Sydney, NSW 2052, Australia.</t>
  </si>
  <si>
    <t>jtd@phys.unsw.edu.au</t>
  </si>
  <si>
    <t>Ashley, Michael/0000-0003-1412-2028; Burton, Michael/0000-0001-7289-1998</t>
  </si>
  <si>
    <t>SPIE-INT SOC OPTICAL ENGINEERING</t>
  </si>
  <si>
    <t>BELLINGHAM</t>
  </si>
  <si>
    <t>1000 20TH ST, PO BOX 10, BELLINGHAM, WA 98227-0010 USA</t>
  </si>
  <si>
    <t>0277-786X</t>
  </si>
  <si>
    <t>1996-756X</t>
  </si>
  <si>
    <t>0-8194-5424-9</t>
  </si>
  <si>
    <t>PROC SPIE</t>
  </si>
  <si>
    <t>10.1117/12.552354</t>
  </si>
  <si>
    <t>Engineering, Aerospace; Instruments &amp; Instrumentation; Optics; Imaging Science &amp; Photographic Technology; Spectroscopy</t>
  </si>
  <si>
    <t>Engineering; Instruments &amp; Instrumentation; Optics; Imaging Science &amp; Photographic Technology; Spectroscopy</t>
  </si>
  <si>
    <t>BBC20</t>
  </si>
  <si>
    <t>WOS:000224718600080</t>
  </si>
  <si>
    <t>Lawrence, JS; Ashley, MCB; Kenyon, S; Storey, JWV; Tokovinin, A; Lloyd, JP; Swain, M</t>
  </si>
  <si>
    <t>Oschmann, JM</t>
  </si>
  <si>
    <t>A robotic instrument for measuring high altitude atmospheric turbulence from Dome C, Antarctica</t>
  </si>
  <si>
    <t>GROUND-BASED TELESCOPES, PTS 1 AND 2</t>
  </si>
  <si>
    <t>Conference on Ground-based Telescopes</t>
  </si>
  <si>
    <t>atmospheric turbulence; site testing; scintillation</t>
  </si>
  <si>
    <t>PROFILE</t>
  </si>
  <si>
    <t>To properly characterize the atmospheric properties of a site for a future large telescope or interferometer, it is insufficient to measure quantities, such as the full-width at half-maximum of a stellar image, that have been integrated over the entire atmosphere. A knowledge of the turbulence distribution as a function of height is necessary, since this affects the ease and degree to which adaptive optics systems can improve the telescope's resolution. Furthermore, some astronomical measurements, such as narrow-field differential astrometry at microarcsecond precision, depend critically on the amount of turbulence high in the atmosphere (up to 20km). In order to obtain the necessary site-testing data at remote sites such as those on the Antarctic plateau, we have designed a robust and reliable instrument based on an 85 mm refractive telescope, a gimbal-mounted sidereostat mirror, and a Multi-Aperture Scintillation Sensor (MASS). The instrument uses the spatial structure of single-star scintillation to measure vertical turbulence profiles from 0.5 to 20km. The MASS system is designed to operate completely autonomously throughout the Antarctic winter. It also has potential applications at existing observatory sites for quantifying the turbulence characteristics of the atmosphere in real-time.</t>
  </si>
  <si>
    <t>jl@phys.unsw.edu.au; mcba@phys.unsw.edu.au</t>
  </si>
  <si>
    <t>Tokovinin, Andrei/AAG-3702-2020; Lloyd, James P/B-3769-2011</t>
  </si>
  <si>
    <t>Tokovinin, Andrei/0000-0002-2084-0782; Lawrence, Jon/0000-0002-6998-6993; Ashley, Michael/0000-0003-1412-2028</t>
  </si>
  <si>
    <t>0-8194-5421-4</t>
  </si>
  <si>
    <t>10.1117/12.551017</t>
  </si>
  <si>
    <t>Astronomy &amp; Astrophysics; Instruments &amp; Instrumentation</t>
  </si>
  <si>
    <t>BBB37</t>
  </si>
  <si>
    <t>WOS:000224524300018</t>
  </si>
  <si>
    <t>Saunders, W; McGrath, AJ</t>
  </si>
  <si>
    <t>A large reflective Schmidt telescope for the Antarctic plateau</t>
  </si>
  <si>
    <t>PROCEEDINGS OF THE SOCIETY OF PHOTO-OPTICAL INSTRUMENTATION ENGINEERS (SPIE)</t>
  </si>
  <si>
    <t>telescopes; Antarctica; wide-field; infra-red; adaptive optics</t>
  </si>
  <si>
    <t>We present a design concept for a 16 metre, wide-field, fixed-axis, all-reflective, segmented f/4 Schmidt telescope to take advantage of the unique possibilities of Antarctica for both optical and near infrared astronomy. The design allows observation of all RA/dec's accessible from Antarctica, with tracking times of several hours. Prime and Cassegrain foci are provided, giving plate scales 300-3000gm/, over fields of view 1.5'-0.5degrees. Diffraction limited, natural guide-star AO-corrected K-dark images are possible over arc-minute sized fields, over 70% of the sky. The sensitivity, resolution, field of view and cost all compare favourably with current or proposed space or ground-based telescopes.</t>
  </si>
  <si>
    <t>Anglo Australian Observ, Epping, NSW 1710, Australia</t>
  </si>
  <si>
    <t>Saunders, W (corresponding author), Anglo Australian Observ, POB 196, Epping, NSW 1710, Australia.</t>
  </si>
  <si>
    <t>P SOC PHOTO-OPT INS</t>
  </si>
  <si>
    <t>10.1117/12.550870</t>
  </si>
  <si>
    <t>WOS:000224524300046</t>
  </si>
  <si>
    <t>Walker, CK; Kulesa, CA; Golish, D; Hedden, A; Jacobs, K; Stutzki, J; Gao, JR; Kooi, J; Glaister, D; Gully, W; Mehdi, I; Swain, M; Siegel, P</t>
  </si>
  <si>
    <t>Forecast for HEAT on Dome A, Antarctica: The High Elevation Antarctic Terahertz Telescope</t>
  </si>
  <si>
    <t>interstellar medium; heterodyne instrumentation; terahertz; star formation; molecular spectroscopy</t>
  </si>
  <si>
    <t>We have proposed to develop a prototype 0.5-meter far-infrared telescope and heterodyne receiver/spectrometer system for fully-automated remote operation at the summit of Dome A, the highest point on the Antarctic plateau. The unparalleled stability, exceptional dryness, low wind and extreme cold make Dome A a ground-based site without equal for astronomy at infrared and submillimeter wavelengths. HEAT, the High Elevation Antarctic Terahertz Telescope, will operate in the atmospheric windows between 150 and 400 pm, in which the most crucial astrophysical spectral diagnostics of the formation of galaxies, stars, planets, and life are found. At these wavelengths, HEAT will have high aperture efficiency and excellent atmospheric transmission most of the year. The proposed superheterodyne receiver system will be comprised of 0.8 THz, 1.4 THz and 1.9 THz channels which will observe the pivotal J=7--&gt; 6 line of CO, the J=2--&gt;41 line of atomic carbon, and the far-infrared fine structure lines of N+ and C+, the brightest emission lines in the entire Milky Way Galaxy. When combined with the HEAT telescope, the receiver system represents a uniquely powerful instrument for reconstructing the history of star formation in our Galaxy, with application to the distant Universe. The receiver system itself serves as a valuable testbed for heterodyne Terahertz components, using leading-edge mixer, local oscillator, low-noise amplifier, cryogenic, and digital signal processing technologies that will play essential roles in future Terahertz observatories. The proposed study will pave the way for future astronomical investigations from Dome A.</t>
  </si>
  <si>
    <t>Univ Arizona, Tucson, AZ USA</t>
  </si>
  <si>
    <t>University of Arizona</t>
  </si>
  <si>
    <t>Walker, CK (corresponding author), Univ Arizona, 933 N Cherry Ave, Tucson, AZ USA.</t>
  </si>
  <si>
    <t>Gao, Jian-Rong/0000-0001-7306-6607</t>
  </si>
  <si>
    <t>10.1117/12.551424</t>
  </si>
  <si>
    <t>WOS:000224524300047</t>
  </si>
  <si>
    <t>Ragazzoni, R; Bono, G; Salinari, P; Arcidiacono, C; Busso, M; Diolaiti, E; Farinato, J; Moore, A; Riccardi, A; Roncatelli, M; Sartori, G; Soci, R; Tosti, G; Vernet, E</t>
  </si>
  <si>
    <t>A wide-field telescope for NUCHO searching at Dome-C</t>
  </si>
  <si>
    <t>Antarctic telescope; Dome-C; wide field; ground layer wavefront sensing; adaptive optics; microlensing; Galactic Globular Clusters</t>
  </si>
  <si>
    <t>Wide-Field imaging at visible wavelengths with seeing of the order of 0.1-0.2arcsec is believed to be possible from the high Antarctic plateau site of Dome-C by the removal of ground layer effects only. We present a proposal for a 2m-class telescope specifically designed for the science case of short duration (similar to10s or greater) microlensing events in the crowded central regions of Galactic Globular Clusters and nearby galaxies where the achievement of a spatial resolution of the order of a fraction of arcsec is essential. The philosophy behind the telescope proposal is discussed in detail. It is emphasized that this is a project with a specific unique science goal in mind and not a large scale facility instrument. A preliminary design for the optics, ground layer removal using a deformable secondary and static wavefront sensor and telescope structure is presented. In particular, it is shown that substantial simplification in the design can be achieved by having a specific science goal in mind, so reducing the complexity and increasing reliability. Transport and logistics for the successful deployment and operation of the telescope at the Dome-C site are discussed.</t>
  </si>
  <si>
    <t>INAF, Osservatorio Astrofis Arcetri, I-50125 Florence, Italy</t>
  </si>
  <si>
    <t>Istituto Nazionale Astrofisica (INAF)</t>
  </si>
  <si>
    <t>INAF, Osservatorio Astrofis Arcetri, L Go E Fermi,5, I-50125 Florence, Italy.</t>
  </si>
  <si>
    <t>ragazzoni@arcetri.astro.it</t>
  </si>
  <si>
    <t>Arcidiacono, Carmelo/AAK-4629-2020; Tosti, Gino/E-9976-2013; Busso, Maurizio Maria/K-7075-2015</t>
  </si>
  <si>
    <t>Arcidiacono, Carmelo/0000-0003-0142-8108; Tosti, Gino/0000-0002-0839-4126; Busso, Maurizio Maria/0000-0001-8944-5820; Diolaiti, Emiliano/0000-0002-3978-0695; Farinato, Jacopo/0000-0002-5840-8362; Ragazzoni, Roberto/0000-0002-7697-5555; Moore, Anna/0000-0002-2894-6936; Riccardi, Armando/0000-0001-5460-2929</t>
  </si>
  <si>
    <t>10.1117/12.552057</t>
  </si>
  <si>
    <t>WOS:000224524300048</t>
  </si>
  <si>
    <t>Ferrari-Toniolo, M</t>
  </si>
  <si>
    <t>A non-conventional multiconfiguration Large Antarctic Telescope in a space-like environment.</t>
  </si>
  <si>
    <t>mid-IR astronomy; Antarctic Telescope; high plateau site; Dome C</t>
  </si>
  <si>
    <t>From a preliminary study on the project of a Large Antarctic Telescope for the Concordia Station at Dome C, two qualifying points seem important to be emphasized: a) the first point is to think of a large diameter Telescope, able to achieve high angular resolution measures, in the subarcsec range in the mid-ir, that the science, especially that concerned with star forming phenomena, is strongly requiring, using in this way a sensitivity limit never reached before which is amplified by the exceptionality of the site exploited. b) The second point, also related to the site, is to realize a non-conventional instrument with the highest degree of simplicity in the structure design, in the configurations, in the telescope control and in the measuring modes, as to face the extreme conditions imposed by a space-like environment such as Dome C and also in order to cut costs. Furthermore the idea is to assure the use of such an instrument at wavelengths higher than the mid-ir region, to which the telescope is principally devoted, thus expanding the interest of the astronomical community for Antarctic Astronomy. In the design phase the optimized configurations assuring the possibility to observe in the near-, mid- and far-ir and in the sub-mm range, will be selected, obtaining the particular optimized structure by making some modifications that could be implemented in Antarctica during the summer season. Every configuration will permit to have the optimized conditions to observe at different wavelengths and for different types of measures (imaging; polarimetry; spectroscopy; large or small fields of view, ect.) giving priority in some cases to the highest angular resolution or to the highest sensitivity, or to largest field of view. Some example will be given about technical solutions expected for the near and mid-ir in the light of the present and future possibilities in these domains.</t>
  </si>
  <si>
    <t>CNR, IASF, Rome, Italy</t>
  </si>
  <si>
    <t>Consiglio Nazionale delle Ricerche (CNR)</t>
  </si>
  <si>
    <t>Ferrari-Toniolo, M (corresponding author), CNR, IASF, Rome, Italy.</t>
  </si>
  <si>
    <t>10.1117/12.550078</t>
  </si>
  <si>
    <t>WOS:000224524300054</t>
  </si>
  <si>
    <t>Bittner, H; Erdmann, M; Haberler, P; Haertel, KR; Barthol, P; Curdt, W</t>
  </si>
  <si>
    <t>Baseline design of the SUNRISE telescope</t>
  </si>
  <si>
    <t>balloon-borne instruments; lightweight structures; UV telescopes; observations of the sun</t>
  </si>
  <si>
    <t>The SUNRISE telescope is part of a balloon-borne instrument for spectro-polarimetric high-resolution observations of the solar atmosphere, to be flown 2007/2008 in the Antarctic summer stratosphere. It is a 1-m UV-VIS Gregory type telescope, operating close to the VIS diffraction limit. The telescope has a steel central frame and a lightweight CFRP trusswork structure with Serrurier properties, providing proper alignment of the optical elements over the varying elevation angle. Mechanisms allow a fine adjustment of the optics. Aberrations caused by residual deformations of the stiff silicon carbide (Cesic(R)) primary mirror are lowered by a dedicated offset in the secondary mirror polish (imprint). The telescope is subjected to the changing heat loads caused by the sun and earth radiation, necessitating measures to provide thermal conditions suitable for high-performance observations. Adequate preliminary solutions for an effective baffling are outlined.</t>
  </si>
  <si>
    <t>Kayser Threde GmbH, D-81379 Munich, Germany</t>
  </si>
  <si>
    <t>Kayser-Threde GmbH</t>
  </si>
  <si>
    <t>Bittner, H (corresponding author), Kayser Threde GmbH, Wolfrathshauserstr 48, D-81379 Munich, Germany.</t>
  </si>
  <si>
    <t>10.1117/12.552007</t>
  </si>
  <si>
    <t>WOS:000224524300090</t>
  </si>
  <si>
    <t>Gagan, MK; Thompson, LG</t>
  </si>
  <si>
    <t>Diaz, HF; Bradley, RS</t>
  </si>
  <si>
    <t>Evolution of the Indo-Pacific warm pool and Hadley-Walker circulation since the last deglaciation</t>
  </si>
  <si>
    <t>HADLEY CIRCULATION: PRESENT, PAST AND FUTURE</t>
  </si>
  <si>
    <t>Advances in Global Change Research</t>
  </si>
  <si>
    <t>Conference on the Hadley Circulation - Present, Past and Future</t>
  </si>
  <si>
    <t>NOV 12-15, 2002</t>
  </si>
  <si>
    <t>Honolulu, HI</t>
  </si>
  <si>
    <t>SEA-SURFACE TEMPERATURE; WESTERN EQUATORIAL PACIFIC; TROPICAL SOUTH-AMERICA; ICE CORE RECORDS; EL-NINO; CLIMATE-CHANGE; MILLENNIAL TIMESCALES; CHINA SEA; OCEAN; VARIABILITY</t>
  </si>
  <si>
    <t>The Indo-Pacific warm pool (IPWP), East Pacific cold tongue, and deep overturning atmospheric Hadley (meridional) and Walker (zonal) circulations form a tightly coupled system. In this chapter, we explore the concept of the Hadley circulation as the fundamental driver of changes in this system, and examine its possible impact on global climates of the past. Recent modeling studies indicate that the Hadley circulation is sensitive to Milankovitch forcing, dominated by the precession cycle (22,000 years) in the tropics. It is well established that the increasing Northern Hemisphere summer insolation during the post-glacial transition enhanced nor-them summer monsoon rainfall, particularly across the Asian landmass. Based on the results of modeling studies, it is probable that the northward asymmetry in tropical beating led to asymmetrical intensification of the Hadley circulation during the early Holocene. The response of the tropical ocean to the intensification of the Hadley circulation is given by foraminiferal Mg/Ca and coral Sr/Ca sea surface temperature (SST) reconstructions, which show that ocean-atmosphere feedbacks drove the tropical Pacific into a westward-concentrated La Nina-like state (warming in the west, cooling in the east) between similar to 11,000 and similar to 4,000 years ago. At the same time, air temperatures reconstructed from Southern Hemisphere high-altitude tropical ice cores also equal or exceed late Holocene values. The widespread warming of the tropical middle troposphere during the early Holocene suggests that the additional flux of water vapor and heat from the warmer IPWP during the La Nina state overwhelmed any atmospheric cooling brought about by the expansion of the East Pacific cold tongue. However, the expanded cold tongue area could also play a role in the early Holocene warming through enhanced Taken together, the paleoclimate records indicate that a post-glacial strengthening of the Hadley circulation initiated ocean-atmosphere feedbacks that altered the energy budget of the tropics to amplify early Holocene warming. Synchronous warming of the Southern Hemisphere high latitudes, as indicated by Antarctic ice core records, may be the result of southward-directed dynamical heating produced by the asymmetrical Hadley circulation. The demise of the early Holocene warming in the tropics and Southern Hemisphere similar to 4,000 through 7,000 years ago correlates with decreasing Northern Hemisphere summer insolation, a southward migration of the Intertropical Convergence Zone (ITCZ), and the onset of modem El Nino/Southern Oscillation (ENSO) variability.</t>
  </si>
  <si>
    <t>Gagan, Michael K/L-5014-2018</t>
  </si>
  <si>
    <t>PO BOX 17, 3300 AA DORDRECHT, NETHERLANDS</t>
  </si>
  <si>
    <t>1574-0919</t>
  </si>
  <si>
    <t>1-4020-2943-8</t>
  </si>
  <si>
    <t>ADV GLOB CHANGE RES</t>
  </si>
  <si>
    <t>Adv. Glob. Change Res.</t>
  </si>
  <si>
    <t>BBY34</t>
  </si>
  <si>
    <t>WOS:000228320400011</t>
  </si>
  <si>
    <t>Kunz, LB; Long, DG</t>
  </si>
  <si>
    <t>Melt detection in Antarctic ice-sheets using spaceborne scatterometers and radiometers</t>
  </si>
  <si>
    <t>IGARSS 2004: IEEE INTERNATIONAL GEOSCIENCE AND REMOTE SENSING SYMPOSIUM PROCEEDINGS, VOLS 1-7: SCIENCE FOR SOCIETY: EXPLORING AND MANAGING A CHANGING PLANET</t>
  </si>
  <si>
    <t>IEEE International Symposium on Geoscience and Remote Sensing IGARSS</t>
  </si>
  <si>
    <t>IEEE International Geoscience and Remote Sensing Symposium</t>
  </si>
  <si>
    <t>SEP 20-24, 2004</t>
  </si>
  <si>
    <t>Anchorage, AK</t>
  </si>
  <si>
    <t>Backscatter measurements from the SeaWinds on QuikSCAT scatterometer are used to determine periods of surface freeze and melt on Antarctic ice-shelves. A maximum likelihood method is used to infer the daily ice-surface conditions for various study points located on the Ronne, Ross, Larsen, Fimbul, Amery, and Shackleton lee-shelves. Criteria for determining the dates of melt-onset and freeze-up for each Austral summer are presented. Validation of the ice-state and melt-onset date estimates is performed by analyzing the corresponding brightness temperature (T-b) measurements from Special Sensor Microwave/Imager (SSM/I) radiometers. QuikSCAT sigmadegrees measurements from 1999 through 2003 are analyzed and found to be very useful for determining periods of melt in Antarctic ice-sheets and provide high temporal and spatial resolution ice-state estimates.</t>
  </si>
  <si>
    <t>Brigham Young Univ, Microwave Earth Remote Sensing Lab, Provo, UT 84602 USA</t>
  </si>
  <si>
    <t>Brigham Young University</t>
  </si>
  <si>
    <t>Kunz, LB (corresponding author), Brigham Young Univ, Microwave Earth Remote Sensing Lab, 459 Clyde Bldg, Provo, UT 84602 USA.</t>
  </si>
  <si>
    <t>lbk2@et.byu.edu; long@ee.byu.edu</t>
  </si>
  <si>
    <t>Long, David G./K-4908-2015</t>
  </si>
  <si>
    <t>Long, David G./0000-0002-1852-3972</t>
  </si>
  <si>
    <t>2153-6996</t>
  </si>
  <si>
    <t>0-7803-8742-2</t>
  </si>
  <si>
    <t>INT GEOSCI REMOTE SE</t>
  </si>
  <si>
    <t>Geosciences, Multidisciplinary; Instruments &amp; Instrumentation; Remote Sensing; Imaging Science &amp; Photographic Technology</t>
  </si>
  <si>
    <t>Geology; Instruments &amp; Instrumentation; Remote Sensing; Imaging Science &amp; Photographic Technology</t>
  </si>
  <si>
    <t>BBP98</t>
  </si>
  <si>
    <t>WOS:000227006900031</t>
  </si>
  <si>
    <t>Tapley, I; Dijkstra, AH; Brolsma, H</t>
  </si>
  <si>
    <t>The geology, landforms and topography of sub-Antarctic Macquarie Island, Australia, as revealed by AIRSAR</t>
  </si>
  <si>
    <t>Enhancements of AIRSAR data are revealing an extraordinary amount of land-surface and geological information relevant to the island's genesis at it mid-ocean ridge, ongoing uplift and subsequent shaping of the surface by extensive faulting, wave action and active processes including freeze/thawing, wind and rain. Overlaying these enhancements on the TOPSAR DEM enables this active landscape to be analyzed in three dimensions. The level of detail indicates that the radar signals are penetrating the snow cover and being backscattered by the underlying surface of rock, lag gravels and vegetation. Drainage patterns, dammed lakes, levels of incision, fault structures, raised beach deposits and terraces, and possible evidence of glacial action can all be recognized in various enhancements of the AIRSAR data.</t>
  </si>
  <si>
    <t>Horizon Geosci Consulting, Perth, WA, Australia</t>
  </si>
  <si>
    <t>Tapley, I (corresponding author), Horizon Geosci Consulting, Perth, WA, Australia.</t>
  </si>
  <si>
    <t>Ian.Tapley@csiro.au; a.dijkstra@westnet.com.au; Henk.Brolsma@aad.gov.au</t>
  </si>
  <si>
    <t>Dijkstra, Arjan/IQT-0821-2023</t>
  </si>
  <si>
    <t>Dijkstra, Arjan/0000-0003-3960-0081</t>
  </si>
  <si>
    <t>WOS:000227006900170</t>
  </si>
  <si>
    <t>Davis, CH; Li, YH</t>
  </si>
  <si>
    <t>Decadal mass balance of the antarctic ice sheet and its contribution to global sea level rise</t>
  </si>
  <si>
    <t>ice sheets; mass balance; sea-level change; satellite radar altimetry</t>
  </si>
  <si>
    <t>We analyzed Antarctic ice sheet elevation change (dH/dt) from 1992-2002 using nearly 307 million elevation change measurements from ERS-1 and ERS-2 satellite radar altimeter data covering an area of about 8.5 million km(2). Ten-year elevation change time series were constructed for 1,500 local regions, 22 drainage basins, East and West Antarctica, and the continent as a whole (north of 81.6degreesS). Almost all basins in East Antarctica were found to have long-term dH/dt trends that fell within +/-3 cm/yr. In West Antarctica the long-term dH/dt trends varied from -9 cm/yr to +22 cm/yr occur over basin scales. Despite these significant spatial variations, both the East and West Antarctic ice sheets, and the continent as a whole are very close to a state of overall mass balance. The average elevation change for the Antarctic continent from 1992-2002 11 as found to be 1.4 +/- 0.2 cm/yr. Considering decadal accumulation variability, this translates to a net sink of fresh water of 42 +/- 23 gt/yr. The Antarctic continent's decadal contribution to global sea level change is estimated to be -0.12 +/- 0.07 mm/yr, which is very close to zero. The +/-0.07 mm/yr error is a three-fold reduction in uncertainty compared to the most recent best estimate for the Antarctic ice sheet.</t>
  </si>
  <si>
    <t>Univ Missouri, Columbia, MO 65211 USA</t>
  </si>
  <si>
    <t>University of Missouri System; University of Missouri Columbia</t>
  </si>
  <si>
    <t>Davis, CH (corresponding author), Univ Missouri, Columbia, MO 65211 USA.</t>
  </si>
  <si>
    <t>DavisCH@missouri.edu</t>
  </si>
  <si>
    <t>WOS:000227006900304</t>
  </si>
  <si>
    <t>Macelloni, G; Pampaloni, P; Tedesco, M; Drinkwater, M</t>
  </si>
  <si>
    <t>Microwave emission from Antarctica and the calibration of low frequency space-borne radiometers</t>
  </si>
  <si>
    <t>microwave radiometry; snow; Antarctica</t>
  </si>
  <si>
    <t>An experimental campaign will be carried out in Antarctica at Dome-C in 2005 to investigate low frequency microwave emission of snow pack and to evaluate the potential of Antarctic plateau to act as a calibratou for L-band satellite sensors such its SMOS and HYDROS. Simulations carried out by using a multi-layer electromagnetic model coupled with a glaciological model have shown very small variations (&lt; 0.1K) of L-band emission during the yearly cycle, and confirmed that the low frequency microwave emission mostly comes from the deeper layers of ice.</t>
  </si>
  <si>
    <t>CNR, IFAC, I-50127 Florence, Italy</t>
  </si>
  <si>
    <t>Consiglio Nazionale delle Ricerche (CNR); Istituto di Fisica Applicata Nello Carrara (IFAC-CNR)</t>
  </si>
  <si>
    <t>CNR, IFAC, Via Panciatichi 64, I-50127 Florence, Italy.</t>
  </si>
  <si>
    <t>P.Pampaloni@ifac.cnr.it</t>
  </si>
  <si>
    <t>Macelloni, Giovanni/B-7518-2015; Drinkwater, Mark/C-2478-2011</t>
  </si>
  <si>
    <t>MACELLONI, GIOVANNI/0000-0002-9738-7939; Drinkwater, Mark/0000-0002-9250-3806</t>
  </si>
  <si>
    <t>WOS:000227006900642</t>
  </si>
  <si>
    <t>Bruniquel, J; Houpert, A; Richard, J; Phalippou, L; Dechambre, M; Guijarro, J</t>
  </si>
  <si>
    <t>Spaceborne P-band radar for ice-sheet sounding: design and performances</t>
  </si>
  <si>
    <t>The Antarctic ice sheet is one of the most prominent physical features on our planet. It represents :in area of about 14 millions km2. The average ice thickness being around 2200 in (and up to 4500 in), the Antarctic ice sheet Contains a 30 million km3 ice volume corresponding to about 70 in of sea level. However, this huge reservoir of water is still partially unknown and due to its large extent, only observations from space can give some global insight into the structure of the ice sheet. The Antarctic ice sheet is an exceptional archive of the past climates and a major factor of the Earth water cycle. Each ice layer corresponding to one period of time keeps its own chemical characteristics linked to past atmospheric events. The typical temporal scale involved allow for a description of past climate over a few climatic cycles, or a few 100 000-year events.</t>
  </si>
  <si>
    <t>Alcatel Space Toulouse, Observat &amp; Sci Business Unit, Toulouse, France</t>
  </si>
  <si>
    <t>Alcatel-Lucent</t>
  </si>
  <si>
    <t>Bruniquel, J (corresponding author), Alcatel Space Toulouse, Observat &amp; Sci Business Unit, Toulouse, France.</t>
  </si>
  <si>
    <t>Jerome.Bruniquel@space.alcatel.fr; Monique.Dechambre@cetp.ipsl.fr; juan.guijarro@esa.int</t>
  </si>
  <si>
    <t>WOS:000227006900741</t>
  </si>
  <si>
    <t>Fleming, AH; Korb, RE</t>
  </si>
  <si>
    <t>A comparison of satellite and cruise chlorophyll-α measurements in the Scotia Sea, Antarctica</t>
  </si>
  <si>
    <t>SeaWiFS.; MODIS; chlorophyll; Southern Ocean</t>
  </si>
  <si>
    <t>OCEAN; ALGORITHMS; SEAWIFS</t>
  </si>
  <si>
    <t>We compared both SeaWiFS (Sea-vieiving Wide Field-of-View Sensor) and MODIS (Moderate-resolution Imaging Spectroradiometer) chlorophyll-alpha (chl-alpha) measurements with simultaneous ship based data obtained during a 2003 British Antarctic Survey (BAS) research cruise. This cruise provided in situ data from a large area of the Scotia Sea containing areas of extreme contrasts in terms of chl-alpha concentration. We present the results of correlation analysis between the in situ ship based chl-alpha measurements and the satellite chl-alpha products (SeaWiFS, and from MODIS the semi-analytic, SeaWiFS analog OC3M, HPLC empirical algorithms). The results confirm the good correlation between SeaWiFS and in situ chl-alpha measurements. The results indicate Terra MODIS chl-alpha measurements show reduced correlation to in situ values when compared to SeaWiFS. In addition, we compared chl-alpha averages from the various algorithms, over wider geographical regions of greater ecological relevance than point measurements. Over an area of 3degrees x 3degrees, SeaWiFS estimates could be as much as 2 times higher than estimates from MODIS.</t>
  </si>
  <si>
    <t>Fleming, AH (corresponding author), British Antarctic Survey, NERC, High Cross,Madingley Rd, Cambridge CB3 0ET, England.</t>
  </si>
  <si>
    <t>afleming@bas.ac.uk</t>
  </si>
  <si>
    <t>WOS:000227006900915</t>
  </si>
  <si>
    <t>Hoover, RB; Pikuta, EV</t>
  </si>
  <si>
    <t>Hoover, RB; Rozanov, AY</t>
  </si>
  <si>
    <t>Microorganisms on comets, Europa and the polar ice caps of Mars</t>
  </si>
  <si>
    <t>INSTRUMENTS, METHODS, AND MISSIONS FOR ASTROBIOLOGY VII</t>
  </si>
  <si>
    <t>Conference on Instruments, Methods and Missions for Astrobiology VII</t>
  </si>
  <si>
    <t>AUG 03-04, 2003</t>
  </si>
  <si>
    <t>San Diego, CA</t>
  </si>
  <si>
    <t>microbial extremophiles; psychrophiles; lake Vostok; comets; Europa; Mars; astrobiology</t>
  </si>
  <si>
    <t>CRYOCONITE HOLES; ALGAL MATS; PERMAFROST; LAKES; ANTARCTICA; BACTERIA; REMOVAL; ESCAPE; EARTH; CELLS</t>
  </si>
  <si>
    <t>Microbial extremophiles live on Earth wherever there is liquid water and a source of energy. Observations by ground-based observatories, space missions, and satellites have provided strong evidence that water ice exists today on comets, Europa, Callisto, and Ganymede and in the snow, permafrost, glaciers and polar ice caps of Mars. Studies of the cryoconite pools and ice bubble systems of Antarctica suggest that solar heating of dark rocks entrained in ice can cause localized melting of ice providing ideal conditions for the growth of microbial communities with the creation of micro-environments where trapped metabolic gasses produce entrained isolated atmospheres as in the Antarctic ice-bubble systems. It is suggested that these considerations indicate that several groups of microorganisms should be capable of episodic growth within liquid water envelopes surrounding dark rocks in cometary ices and the permafrost and polar caps of Mars. We discuss some of the types of microorganisms we have encountered within the permafrost and snow of Siberia, the cryoconite pools of Alaska, and frozen deep within the Antarctic ice sheet above Lake Vostok.</t>
  </si>
  <si>
    <t>NASA, Astrobiol Grp, Natl Space Sci &amp; Technol Ctr, Huntsville, AL 35805 USA</t>
  </si>
  <si>
    <t>National Aeronautics &amp; Space Administration (NASA)</t>
  </si>
  <si>
    <t>Hoover, RB (corresponding author), NASA, Astrobiol Grp, Natl Space Sci &amp; Technol Ctr, 320 Sparkman Dr, Huntsville, AL 35805 USA.</t>
  </si>
  <si>
    <t>0-8194-5036-7</t>
  </si>
  <si>
    <t>10.1117/12.513432</t>
  </si>
  <si>
    <t>BY69V</t>
  </si>
  <si>
    <t>WOS:000189441600018</t>
  </si>
  <si>
    <t>Lipps, JH; Delory, G; Pitman, J; Rieboldt, S</t>
  </si>
  <si>
    <t>Hoover, RB; Levin, GV; Rozanov, AY</t>
  </si>
  <si>
    <t>Astrobiology of Jupiter's icy moons</t>
  </si>
  <si>
    <t>INSTRUMENTS, METHODS, AND MISSIONS FOR ASTROBIOLOGY VIII</t>
  </si>
  <si>
    <t>Conference on Instruments, Methods, and Missions for Astrobiology VIII</t>
  </si>
  <si>
    <t>AUG 02-03, 2004</t>
  </si>
  <si>
    <t>astrobiology; life; Jupiter's icy moons; Callisto; Europa; Ganymede; ice organisms; remote sensing</t>
  </si>
  <si>
    <t>MID-ATLANTIC RIDGE; TECTONIC PROCESSES; ANTARCTIC ICE; LAKE VOSTOK; EUROPA; LIFE; DIVERSITY; COMMUNITIES; FEATURES; SURFACE</t>
  </si>
  <si>
    <t>Jupiter's Icy Moons, Europa, Ganymede and Callisto, may possess energy sources, biogenic molecules, and oceans below their icy crusts, thus indicating a strong possibility that they were abodes for present or past life. Life in Earth's icy areas lives in a wide variety of habitats associated with the ice, in the water column below the ice, and on the floor of the ocean below the ice. Similar habitats may exist on JIM, have been transported to the icy crust, and be exposed in tectonic or impact features. Europa has a young, dynamic surface with many outcrops exposing older ice, fresh ice, possible materials from the subsurface ocean, and a few impact craters. Ganymede has older, darker, tectonized terrains surrounded by light ice. Callisto has a much older, heavily impacted surface devoid of significant tectonic structures. Past and present life habitats may be exposed in these features, making Europa the most favorable target while Ganymede is of interest, and Callisto seems more unlikely to have detectable life. A proper search strategy requires detailed orbital imaging and spectrometry of the likely places, and surface data collection with microscopic, spectrometric, and biochemical instruments.</t>
  </si>
  <si>
    <t>Univ Calif Berkeley, Dept Integrat Biol, Berkeley, CA 94720 USA</t>
  </si>
  <si>
    <t>University of California System; University of California Berkeley</t>
  </si>
  <si>
    <t>Lipps, JH (corresponding author), Univ Calif Berkeley, Dept Integrat Biol, Berkeley, CA 94720 USA.</t>
  </si>
  <si>
    <t>Lipps, Jere/0000-0003-0592-7537</t>
  </si>
  <si>
    <t>0-8194-5493-1</t>
  </si>
  <si>
    <t>10.1117/12.560356</t>
  </si>
  <si>
    <t>Engineering, Aerospace; Astronomy &amp; Astrophysics; Biology; Geosciences, Multidisciplinary</t>
  </si>
  <si>
    <t>Engineering; Astronomy &amp; Astrophysics; Life Sciences &amp; Biomedicine - Other Topics; Geology</t>
  </si>
  <si>
    <t>BBI76</t>
  </si>
  <si>
    <t>WOS:000225670200008</t>
  </si>
  <si>
    <t>Hoover, RB; Pikuta, EV; Wickramasinghe, NC; Wallis, MK; Sheldon, RB</t>
  </si>
  <si>
    <t>Astrobiology of comets</t>
  </si>
  <si>
    <t>comets; cryoconite; extremophiles; Orgueil; carbonaceous chondrites; meteorites; cyanobacteria</t>
  </si>
  <si>
    <t>MICROORGANISMS; EVOLUTION; NUCLEUS; EUROPA</t>
  </si>
  <si>
    <t>We review the current state of knowledge concerning microbial extremophiles and comets and the potential significance of comets to Astrobiology. We model the thermal history of a cometary body, regarded as an assemblage of boulders, dust.. ices and organics, as it approaches a perihelion distance of similar to 1AU. The transfer of incident energy from sunlight into the interior leads to the melting of near surface ices, some under stable porous crust., providing possible habitats for a wide range of microorganisms. We provide data concerning new evidence for indigenous microfossils in CI meteorites, which may be the remains of extinct cometary cores. We discuss the dominant microbial communities of polar sea-ice, Antarctic ice sheet, and cryoconite environments as possible analogs for microbial ecosystems that may grow in sub-crustal pools or in ice/water films in comets.</t>
  </si>
  <si>
    <t>NASA, Astrobiol Lab, MSFC, NSSTC, Huntsville, AL 35805 USA</t>
  </si>
  <si>
    <t>Hoover, RB (corresponding author), NASA, Astrobiol Lab, MSFC, NSSTC, 320 Sparkman Dr, Huntsville, AL 35805 USA.</t>
  </si>
  <si>
    <t>Richard.Hoover@NASA.GOV</t>
  </si>
  <si>
    <t>10.1117/12.566496</t>
  </si>
  <si>
    <t>WOS:000225670200009</t>
  </si>
  <si>
    <t>Sattler, B; Waldhuber, S; Fischer, H; Semmler, H; Sipiera, PP; Psenner, R</t>
  </si>
  <si>
    <t>Microbial activity and phylogeny in ice cores retrieved of Lake Paula, a newly detected freshwater take in Antarctica</t>
  </si>
  <si>
    <t>microbes; permanent ice covered take; Antarctica; phylogeny; cold-adapted bacteria</t>
  </si>
  <si>
    <t>SNOW COVER; COMMUNITIES; BACTERIA; ALPINE; VOSTOK</t>
  </si>
  <si>
    <t>A permanent ice covered water body, called Lake Paula, was detected in Patriot Hills in the West Antarctic and sampled for the first time ever for microbial life. The ice sheet measured approximately 2,5m thickness and the water body has a depth of about 10m. The lake is situated near a moraine which partly ablates from snow and provides meltwater from the slopes to the lake during austral summer. These running waters which are kept liquid by the heating up of the dark soil are penetrating the lower ice cover and thus softening up the lakeside part if the ice core. It is inoculated by nutrients, active microbes and diatoms of terrestrial origin. A distinct gradient concerning bacterial numbers, biomass and production which is 10 fold at the ice-water interface compared to the exposed part is observable. Temperature sensitivity of the embedded microbes reflect the gradient as well: Bacteria isolated from the upper part showed growth optima at 10degreesC, the lower part at 25degreesC, phylogenetic properties done by 16s rDNA reveal distinct communities depending on their vertical position, some clones are similar to those retrieved in Lake Vostok ice cores. These results offer the conclusion that even in this harsh environment like the Antarctic continent a dynamic system like microbial ice aggregates can be sustained as long as the supply of liquid water which is essential for an active bacterial metabolism is provided at least for a small time frame.</t>
  </si>
  <si>
    <t>Univ Innsbruck, Inst Zool &amp; Limnol, A-6020 Innsbruck, Austria</t>
  </si>
  <si>
    <t>Sattler, B (corresponding author), Univ Innsbruck, Inst Zool &amp; Limnol, Technikerstr 25, A-6020 Innsbruck, Austria.</t>
  </si>
  <si>
    <t>Birgit.Sattler@uibk.ac.at</t>
  </si>
  <si>
    <t>10.1117/12.564554</t>
  </si>
  <si>
    <t>WOS:000225670200016</t>
  </si>
  <si>
    <t>The uses of Martian ice</t>
  </si>
  <si>
    <t>INTERDISCIPLINARY SCIENCE REVIEWS</t>
  </si>
  <si>
    <t>MARS; EXPEDITIONS; EXPLORATION; SURFACE</t>
  </si>
  <si>
    <t>In this paper I explore potential relationships between humans and Martian polar ices. Martian ices contain within them multimillion year histories of atmospheric, geological and maybe even biological processes. Polar ices will have many scientific uses, as well as providing resources for human explorers. Their hydrogen atoms may be used to make methane fuel by combination with carbon atoms from atmospheric carbon dioxide. It would be possible to use the ice as a source of water and also of oxygen in the otherwise anoxic atmosphere. Martian polar ices could be used as a shield by human explorers: by covering a research station with ice, high energy solar particles could be absorbed, protecting explorers from potentially damaging radiation exposure. Finally, Martian ices provide a substratum over which scientific and exploratory expeditions could traverse on their way to deep field sites and the geographic poles themselves. Martian polar ices have the potential to open a new and unique chapter in the long relationship between humans and ice.</t>
  </si>
  <si>
    <t>British Antarctic Survey, Madingley Rd, Cambridge CB3 0ET, England.</t>
  </si>
  <si>
    <t>csco@bas.ac.uk</t>
  </si>
  <si>
    <t>Natural Environment Research Council [bas010008] Funding Source: researchfish; NERC [bas010008] Funding Source: UKRI</t>
  </si>
  <si>
    <t>ROUTLEDGE JOURNALS, TAYLOR &amp; FRANCIS LTD</t>
  </si>
  <si>
    <t>2-4 PARK SQUARE, MILTON PARK, ABINGDON OX14 4RN, OXON, ENGLAND</t>
  </si>
  <si>
    <t>0308-0188</t>
  </si>
  <si>
    <t>1743-2790</t>
  </si>
  <si>
    <t>INTERDISCIPL SCI REV</t>
  </si>
  <si>
    <t>Interdiscip. Sci. Rev.</t>
  </si>
  <si>
    <t>10.1179/030801804225018918</t>
  </si>
  <si>
    <t>Multidisciplinary Sciences; Social Sciences, Interdisciplinary</t>
  </si>
  <si>
    <t>Science Citation Index Expanded (SCI-EXPANDED); Social Science Citation Index (SSCI)</t>
  </si>
  <si>
    <t>Science &amp; Technology - Other Topics; Social Sciences - Other Topics</t>
  </si>
  <si>
    <t>885UN</t>
  </si>
  <si>
    <t>WOS:000226182700007</t>
  </si>
  <si>
    <t>Turner, J</t>
  </si>
  <si>
    <t>The El Nino-southern oscillation and Antarctica</t>
  </si>
  <si>
    <t>INTERNATIONAL JOURNAL OF CLIMATOLOGY</t>
  </si>
  <si>
    <t>ENSO; antarctica; climate variability</t>
  </si>
  <si>
    <t>SEA-SURFACE TEMPERATURE; METHANESULFONIC-ACID; CLIMATE VARIABILITY; ICE EXTENT; CIRCUMPOLAR WAVE; LEVEL PRESSURE; HIGH-LATITUDES; PACIFIC-OCEAN; TEMPORAL VARIATIONS; ATMOSPHERIC BRIDGE</t>
  </si>
  <si>
    <t>This paper reviews our understanding of how the effects of the El Nino-southern oscillation (ENSO) might be transmitted from the tropical Pacific Ocean to the Antarctic, and examines the evidence for such signals in the Antarctic meteorological, sea ice, ice core and biological records. Many scientific disciples concerned with the Antarctic require an understanding of how the climatic conditions in the tropical and mid-latitude regions affect the Antarctic, and it is hoped that this review will aid their work. The most pronounced signals of ENSO are found over the southeast Pacific as a result of a climatological Rossby wave train that gives positive (negative) height anomalies over the Amundsen-Bellingshausen Sea during El Nino (La Nina) events. However, the extra-tropical signature can sometimes show a high degree of variability between events in this area. In West Antarctica, links between ENSO and precipitation have shown variability on the decadal time scale. Across the continent itself, it is even more difficult to relate meteorological conditions to ENSO, yet analyses of the long meteorological records from the stations do indicate a distinct switch in sign of the pressure anomalies from positive to negative across the minimum in the southern oscillation index. The oceanic signals of ENSO around the Antarctic are less clear, but it has been suggested that the Antarctic circumpolar wave could be forced by the phenomenon. Ice-core data offer the potential to help in understanding the long-term relationship between ENSO and the climate of the Antarctic, but there are difficulties because of the need to smooth the ice-core data to overcome the mixing of snow on the surface. Nevertheless, analysis of methylsulphonic acid in a South Pole core has shown high variability on ENSO time scales. It is clear that some evidence of ENSO can be found in the Antarctic meteorological and ice-core records. however, many of the relationships tend not to be stable with time, and we currently have a poor understanding of the transfer functions by which such signals arrive at the Antarctic from the tropical Pacific. (C) Copyright 2004 Royal Meteorological Society.</t>
  </si>
  <si>
    <t>Turner, J (corresponding author), British Antarctic Survey, Nat Environm Res Council, Cambridge CB3 0ET, England.</t>
  </si>
  <si>
    <t>j.turner@bas.ac.uk</t>
  </si>
  <si>
    <t>Turner, John/0000-0002-6111-5122</t>
  </si>
  <si>
    <t>0899-8418</t>
  </si>
  <si>
    <t>INT J CLIMATOL</t>
  </si>
  <si>
    <t>Int. J. Climatol.</t>
  </si>
  <si>
    <t>10.1002/joc.965</t>
  </si>
  <si>
    <t>770NQ</t>
  </si>
  <si>
    <t>WOS:000188737200001</t>
  </si>
  <si>
    <t>Makra, L; Brimblecombe, P</t>
  </si>
  <si>
    <t>Selections from the history of environmental pollution, with special attention to air pollution. Part 1</t>
  </si>
  <si>
    <t>INTERNATIONAL JOURNAL OF ENVIRONMENT AND POLLUTION</t>
  </si>
  <si>
    <t>copper mining; copper pollution of the atmosphere; lead mining; lead pollution of teeth; lead pollution of the atmosphere</t>
  </si>
  <si>
    <t>GREENLAND SNOWS; ANTARCTIC ICE; LATE 1960S; LEAD; CADMIUM; TIMES; ROMAN</t>
  </si>
  <si>
    <t>Several comprehensive publications have been issued recently on the environmental pollution of past times (e.g. Tylecote, 1976; Nriagu, 1983a; Brimblecombe, 1987a; Goldstein, 1988; Healy, 1988; Brimblecombe and Pfister, 1990; Hughes, 1993; Markham, 1994; Brimblecombe, 1995; Karatzas, 2000, 2001; McNeill, 2001; Meszaros, 2001). The aim of this study is to give an overview of information on the subject - mainly related to ancient times.</t>
  </si>
  <si>
    <t>Univ Szeged, Dept Climatol &amp; Landscape Ecol, H-6701 Szeged, Hungary; Univ E Anglia, Sch Environm Sci, Norwich NR4 7TJ, Norfolk, England</t>
  </si>
  <si>
    <t>Szeged University; University of East Anglia</t>
  </si>
  <si>
    <t>Makra, L (corresponding author), Univ Szeged, Dept Climatol &amp; Landscape Ecol, PF 653, H-6701 Szeged, Hungary.</t>
  </si>
  <si>
    <t>makra@geo.u-szeged.hu; p.brimblecombe@uea.ac.uk</t>
  </si>
  <si>
    <t>László, Makra/A-6120-2008</t>
  </si>
  <si>
    <t>László, Makra/0000-0001-7424-8963; Brimblecombe, Peter/0000-0002-2233-8761</t>
  </si>
  <si>
    <t>INDERSCIENCE ENTERPRISES LTD</t>
  </si>
  <si>
    <t>GENEVA</t>
  </si>
  <si>
    <t>WORLD TRADE CENTER BLDG, 29 ROUTE DE PRE-BOIS, CASE POSTALE 896, CH-1215 GENEVA, SWITZERLAND</t>
  </si>
  <si>
    <t>0957-4352</t>
  </si>
  <si>
    <t>INT J ENVIRON POLLUT</t>
  </si>
  <si>
    <t>Int. J. Environ. Pollut.</t>
  </si>
  <si>
    <t>10.1504/IJEP.2004.006044</t>
  </si>
  <si>
    <t>893CF</t>
  </si>
  <si>
    <t>WOS:000226696200001</t>
  </si>
  <si>
    <t>Van Trappen, S; Vandecandelaere, I; Mergaert, J; Swings, J</t>
  </si>
  <si>
    <t>Flavobacterium degerlachei sp nov., Flavobacterium frigoris sp nov and Flavobacterium micromati sp nov., novel psychrophilic bacteria isolated from microbial mats in Antarctic lakes</t>
  </si>
  <si>
    <t>EMENDED DESCRIPTION; DNA; CLASSIFICATION; COMMUNITY; FAMILY</t>
  </si>
  <si>
    <t>Taxonomic studies were performed on 36 strains that were isolated from microbial mats in Antarctic lakes of the Vestfold Hills, the Larsemann Hills and the McMurdo Dry Valleys. Phylogenetic; analysis based on 16S rRNA gene sequences indicated that these strains are related to members of the genus Flavobacterium; sequence similarity values with their nearest phylogenetic neighbours ranged from 96.8 to 98.5 %. Results of DNA-DNA hybridization and comparison of repetitive extragenic palindromic DNA-PCR fingerprinting patterns revealed that these strains are members of three distinct species. Genotypic results, together with phenotypic characteristics, allowed the differentiation of these species from related Flavobacterium species with validly published names. The isolates are Gram-negative, chemoheterotrophic, rod-shaped cells that are psychrophilic and moderately halotolerant; their DNA G + C contents range from 33.1 to 34.5 mol%. Their whole-cell fatty acid profiles are similar and include C-15:0, anteiso-C-15:0, iso-C-15:0, C-15:1 omega6c, iSO-C-16:0, iso-C-16:0 3-OH and summed feature 3 (which comprises iso-C-15:0 2-OH, C-16:1 omega7c or both) as major fatty acid components. On the basis of these results, three novel species are proposed, namely Flavobacterium degerlachei sp. nov. (consisting of 14 strains, with LMG 21915(T) = DSM 15718(T) as the type strain), Flavobacterium micromati sp. nov. (consisting of three strains, with LMG 21919(T) = CIP 108161(T) as the type strain) and Flavobacterium frigoris sp. nov. (consisting of 19 strains, with LMG 21922(T) = DSM 15719(T) as the type strain).</t>
  </si>
  <si>
    <t>Univ Ghent, Vakgrp Biochem, Microbiol Lab, B-9000 Ghent, Belgium</t>
  </si>
  <si>
    <t>Univ Ghent, Vakgrp Biochem, Microbiol Lab, KL Ledeganckstr 35, B-9000 Ghent, Belgium.</t>
  </si>
  <si>
    <t>stefanie.vantrappen@UGent.be</t>
  </si>
  <si>
    <t>Vandecandelaere, Ilse/C-1507-2009</t>
  </si>
  <si>
    <t>Van Trappen, Stefanie/0000-0002-7431-4606</t>
  </si>
  <si>
    <t>MICROBIOLOGY SOC</t>
  </si>
  <si>
    <t>CHARLES DARWIN HOUSE, 12 ROGER ST, LONDON WC1N 2JU, ERKS, ENGLAND</t>
  </si>
  <si>
    <t>1466-5034</t>
  </si>
  <si>
    <t>10.1099/ijs.0.02857-0</t>
  </si>
  <si>
    <t>777BR</t>
  </si>
  <si>
    <t>WOS:000189154700011</t>
  </si>
  <si>
    <t>Mansilla, G; Mosert, M; Ezquer, R; Amarante, GM</t>
  </si>
  <si>
    <t>Reinisch, BW; Bilitza, DK; McKinnell, LA</t>
  </si>
  <si>
    <t>Variability of ionospheric parameters during geomagnetic storms at a middle latitude station: comparisons with IRI model</t>
  </si>
  <si>
    <t>IRI: QUANTIFYING IONOSPHERIC VARIABILITY</t>
  </si>
  <si>
    <t>ADVANCES IN SPACE RESEARCH-SERIES</t>
  </si>
  <si>
    <t>Annual Workshop of the International-Reference-Ionosphere-Working-Group</t>
  </si>
  <si>
    <t>OCT 06-10, 2003</t>
  </si>
  <si>
    <t>Rhodes Univ, Grahamstown, SOUTH AFRICA</t>
  </si>
  <si>
    <t>Rhodes Univ</t>
  </si>
  <si>
    <t>geomagnetic storms; ionospheric variability; International Reference Ionosphere</t>
  </si>
  <si>
    <t>INTERNATIONAL REFERENCE IONOSPHERE; ANTARCTIC F-REGION</t>
  </si>
  <si>
    <t>This paper discusses the behavior of ionospheric parameters that were obtained from electron density profiles derived from ionograms recorded at El Arenosillo (37.1degreesN, 353.2degreesE; Dip = 52; Modip = 45.5) during some intense geomagnetic storms. The selected parameters are the critical frequency of the F2 layer, f(o)F2, the height of the peak electron density, h(m)F2, the thickness and shape parameters of the F2 layer, B0 and B1, and the integrated total electron content (ITEC). As a measure of the ionospheric disturbance during the storms the relative deviations of these parameters from their corresponding monthly medians has been calculated. All the parameters present changes during the storms. In general, increases during the main phase and first stage of the recovery phase are observed. The relative deviations of f(o)F2 and ITEC present similar temporal behavior (as during quiet geomagnetic conditions). Comparisons between f(o)F2 and ITEC with IRI 2001 model predictions show that the model significantly overestimates the ionospheric parameters mainly during the recovery phase of the storms. (C) 2004 COSPAR. Published by Elsevier Ltd. All rights reserved.</t>
  </si>
  <si>
    <t>Univ Nacl Tucuman, Lab Ionosfera, Dept Fis, RA-4000 San Miguel De Tucuman, Argentina; Consejo Nacl Invest Cient &amp; Tecn, RA-4000 San Miguel De Tucuman, Argentina; Univ Technol Natl, Fac Reg Tucuman, RA-4000 San Miguel De Tucuman, Argentina; Consejo Nacl Invest Cient &amp; Tecn, CASLEO, RA-5400 San Juan, Argentina; Abdus Salam Int Ctr Theoret Phys, ARPL, I-34100 Trieste, Italy</t>
  </si>
  <si>
    <t>Universidad Nacional de Tucuman; Consejo Nacional de Investigaciones Cientificas y Tecnicas (CONICET); Consejo Nacional de Investigaciones Cientificas y Tecnicas (CONICET); Abdus Salam International Centre for Theoretical Physics (ICTP)</t>
  </si>
  <si>
    <t>Mansilla, G (corresponding author), Univ Nacl Tucuman, Lab Ionosfera, Dept Fis, Av Independencia 1800, RA-4000 San Miguel De Tucuman, Argentina.</t>
  </si>
  <si>
    <t>gmansilla@herrera.unt.edu.ar</t>
  </si>
  <si>
    <t>miro amarante, maria gloria/F-1792-2010</t>
  </si>
  <si>
    <t>miro amarante, maria gloria/0000-0002-3935-3343</t>
  </si>
  <si>
    <t>ADV SPACE RES-SERIES</t>
  </si>
  <si>
    <t>10.1016/j.asr.2004.06.013</t>
  </si>
  <si>
    <t>Engineering, Aerospace; Astronomy &amp; Astrophysics; Geosciences, Multidisciplinary; Meteorology &amp; Atmospheric Sciences</t>
  </si>
  <si>
    <t>Engineering; Astronomy &amp; Astrophysics; Geology; Meteorology &amp; Atmospheric Sciences</t>
  </si>
  <si>
    <t>BBN80</t>
  </si>
  <si>
    <t>WOS:000226373800009</t>
  </si>
  <si>
    <t>Romanov, VF</t>
  </si>
  <si>
    <t>Skreslet, S</t>
  </si>
  <si>
    <t>Northern hemispheric air circulation</t>
  </si>
  <si>
    <t>JAN MAYEN ISLAND IN SCIENTIFIC FOCUS</t>
  </si>
  <si>
    <t>NATO Science Series IV-Earth and Environmental Sciences</t>
  </si>
  <si>
    <t>NATO Advanced Research Workshop on Jan Mayen Island in Scientific Focus</t>
  </si>
  <si>
    <t>NOV 11-15, 2003</t>
  </si>
  <si>
    <t>Oslo, NORWAY</t>
  </si>
  <si>
    <t>diagnosis; climate; atmospheric circulation statistics; transports; upscale fluxes; planetary boundary layer; parameterisation; surface exchange</t>
  </si>
  <si>
    <t>New theoretical basis is developed and is applied to diagnosis of the climatically prevailing atmospheric transports using the time mean climate data. Balance equations are decomposed into the continual mixture of interacting circulation patterns in the ranges of the synoptic eddy (SE) variability and climate background flow (BG) including the upscale fluxes and sources of the SE formation and decay. Second correlations are modeled including different transport mechanisms. Constant coefficients are evaluated through the data assimilation. Adaptation to the Arctic is through the parameterization of the planetary boundary layer and interaction with Arctic surfaces describing the main Arctic features. Comparisons with data show agreement. Transport paths are focused in the chess-type system of the eddy-advective jets over the hemisphere.</t>
  </si>
  <si>
    <t>Romanov, VF (corresponding author), Arctic &amp; Antarctic Res Inst, St Petersburg 199226, Russia.</t>
  </si>
  <si>
    <t>romanov@aari.nw.ru</t>
  </si>
  <si>
    <t>1568-1238</t>
  </si>
  <si>
    <t>1-4020-2955-1</t>
  </si>
  <si>
    <t>NATO SCI S SS IV EAR</t>
  </si>
  <si>
    <t>NATO Sci. Series IV Earth Environ. Sciences</t>
  </si>
  <si>
    <t>BCN13</t>
  </si>
  <si>
    <t>WOS:000230112500006</t>
  </si>
  <si>
    <t>Huberth-Hansen, JP</t>
  </si>
  <si>
    <t>Norwegian protection of Arctic islands - Restrictions and consequences</t>
  </si>
  <si>
    <t>Jan Mayen Island in Scientific Focus</t>
  </si>
  <si>
    <t>NATO Science Series IV Earth and Environmental Sciences</t>
  </si>
  <si>
    <t>biodiversity; uniqueness; wilderness; conservation</t>
  </si>
  <si>
    <t>Norway has taken measures to protect Arctic and Antarctic islands. Recently two small islands near Svalbard were declared nature reserves. Approximately 65 % of the of the Svalbard archipelago is now protected. The Environmental Council for Jan Mayen has developed an Action Plan for 2000-2005 drafting protection measures that are under consideration by the Ministry of the Environment. Protective limitations affect all activities on the island, including research.</t>
  </si>
  <si>
    <t>Norwegian Directorate Nat Management, Trondheim, Norway</t>
  </si>
  <si>
    <t>Huberth-Hansen, JP (corresponding author), Norwegian Directorate Nat Management, Trondheim, Norway.</t>
  </si>
  <si>
    <t>WOS:000230112500026</t>
  </si>
  <si>
    <t>A migratory Martian base - Using the polar summer, escaping the polar winter</t>
  </si>
  <si>
    <t>Martian poles; Martian polar winter; mobility; north pole; mars base; rover</t>
  </si>
  <si>
    <t>Placing the first human base on Mars near the poles is attractive because of the easy access to water ice on the surface, the scientific interest in these regions and 24 hr of light during the summer. However, it brings with it the logistically difficult problem of dealing with polar winter. At latitudes above 64.8degrees, days of complete darkness are experienced with an increasing length of winter darkness towards the pole. At the edge of the polar ice cap up to 9 months of continuous darkness will be experienced. In this paper I propose a mobile base that would migrate to the edge of the polar ice cap in summer to provide easy access to water ice and access to the scientifically interesting polar regions during 24 hr light periods when scientific productivity could be very high. It would rove southwards to similar to50degreesN during the onset of polar winter to place itself back within regions of light/dark so that solar power could be gathered and safety will be maximized. At this southern location the team would change scientific focus to non-polar geology. At both locations the roving base would assemble permanent structures to establish a permanent human presence on Mars. To achieve this mobility the base would be constructed of pressurized, inter-connectable rovers with a redundant ability to pull one another during the twice yearly expeditionary migration.</t>
  </si>
  <si>
    <t>763NG</t>
  </si>
  <si>
    <t>WOS:000188091800006</t>
  </si>
  <si>
    <t>Moldovan, M; Krupp, EM; Holliday, AE; Donard, OFX</t>
  </si>
  <si>
    <t>High resolution sector field ICP-MS and multicollector ICP-MS as tools for trace metal speciation in environmental studies: a review</t>
  </si>
  <si>
    <t>JOURNAL OF ANALYTICAL ATOMIC SPECTROMETRY</t>
  </si>
  <si>
    <t>4th International Conference on High Resolution Sector Field ICP-MS</t>
  </si>
  <si>
    <t>OCT 15-17, 2003</t>
  </si>
  <si>
    <t>Venice, ITALY</t>
  </si>
  <si>
    <t>INDUCTIVELY-COUPLED PLASMA; ISOTOPE-RATIO MEASUREMENTS; PERFORMANCE LIQUID-CHROMATOGRAPHY; SIZE-EXCLUSION CHROMATOGRAPHY; ORGANIC SELENIUM-COMPOUNDS; MASS-SPECTROMETRY; GAS-CHROMATOGRAPHY; ANTARCTIC SNOW; HEAVY-METALS; WATER</t>
  </si>
  <si>
    <t>Metal speciation provides improved information on the fate, uptake, beneficial or toxic aspects and, finally, translocation of metal between the different compartments of the environment. Speciation has therefore become an important topic of present-day analytical research. inductively coupled plasma mass spectrometry (ICP-MS) is the detection technique of choice for different separation modes, and their hyphenation allows the performance of metal speciation on a routine basis. Sector field inductively coupled mass spectrometry (ICP-SFMS) presents good detection capability and resolving power which results in important features for challenging applications, such as speciation analysis. Further, isotope ratio precision at the molecular level will certainly promote new information both with regard to chemical reactivity and traceability of reaction pathways. Multicollector inductively coupled plasma mass spectrometry (MC-ICP-MS) now offers such potential, and hence allows scientific grounds to be investigated. An overview of the new directions that speciation should take and the potential and limits of ICP-SFMS and MC-ICP-MS in this domain will be discussed.</t>
  </si>
  <si>
    <t>Univ Pau &amp; Pays Adour, CNRS, UMR 5034, Lab Chim Bioinorgan &amp; Environm, F-64053 Pau 9, France</t>
  </si>
  <si>
    <t>Universite de Pau et des Pays de l'Adour; Centre National de la Recherche Scientifique (CNRS)</t>
  </si>
  <si>
    <t>Univ Pau &amp; Pays Adour, CNRS, UMR 5034, Lab Chim Bioinorgan &amp; Environm, Helioparc Pau Pyrenees,2 Av President Angot, F-64053 Pau 9, France.</t>
  </si>
  <si>
    <t>mariella.moldovan@univ-pau.fr</t>
  </si>
  <si>
    <t>Krupp, Eva/B-8309-2011; Moldovan, Mariella/A-4294-2008</t>
  </si>
  <si>
    <t>Moldovan, Mariella/0000-0001-6697-4252</t>
  </si>
  <si>
    <t>ROYAL SOC CHEMISTRY</t>
  </si>
  <si>
    <t>THOMAS GRAHAM HOUSE, SCIENCE PARK, MILTON RD, CAMBRIDGE CB4 0WF, CAMBS, ENGLAND</t>
  </si>
  <si>
    <t>0267-9477</t>
  </si>
  <si>
    <t>1364-5544</t>
  </si>
  <si>
    <t>J ANAL ATOM SPECTROM</t>
  </si>
  <si>
    <t>J. Anal. At. Spectrom.</t>
  </si>
  <si>
    <t>10.1039/b403128h</t>
  </si>
  <si>
    <t>Chemistry, Analytical; Spectroscopy</t>
  </si>
  <si>
    <t>Chemistry; Spectroscopy</t>
  </si>
  <si>
    <t>835HG</t>
  </si>
  <si>
    <t>WOS:000222472700001</t>
  </si>
  <si>
    <t>Planchon, FAM; Gabrielli, P; Gauchard, PA; Dommergue, A; Barbante, C; Cairns, WRL; Cozzi, G; Nagorski, SA; Ferrari, CP; Boutron, CF; Capodaglio, G; Cescon, P; Varga, A; Wolff, EW</t>
  </si>
  <si>
    <t>Direct determination of mercury at the sub-picogram per gram level in polar snow and ice by ICP-SFMS</t>
  </si>
  <si>
    <t>PLASMA-MASS-SPECTROMETRY; HEAVY-METAL ANALYSIS; ATMOSPHERIC MERCURY; SPRINGTIME DEPLETION; GAS-CHROMATOGRAPHY; ANTARCTIC SNOW; SPECIATION; DEPOSITION; GREENLAND; PICOGRAM</t>
  </si>
  <si>
    <t>An analytical method for the direct determination of mercury (Hg) in polar snow and ice cores and surface snow based on inductively coupled plasma sector field mass spectrometry (ICP-SFMS) has been developed. Various Hg isotopes, such as Hg-199, Hg-200, Hg-201 and Hg-202, appear to be free of polyatomic interferences in such matrices and allow the measurements to be made in low resolution mode, leading to high sensitivity. Ultra-low concentration Hg standards (from 1.5 to 20 pg g(-1)) were used for the calibration of the Thermo Finnigan MAT Element2, and a detection limit as low as 0.18 pg g(-1) was achieved using Hg-202. Ultra-clean procedures used from field sampling to final laboratory analysis show no significant blank contributions and appear suitable for the reliable determination of Hg at ultra-low concentrations. Precision of the Hg measurements was estimated to be 15% in terms of relative standard deviation on five replicates and accuracy was checked with an analytical reference material (102% recovery). Hg concentrations in surface snow samples from the Northern Hemisphere collected in the Canadian Arctic and in Svalbard (Norway) show high variability (1.2-32.0 pg g-(1)). In Antarctica, Hg was determined in different ice core sections from Dome C, spanning the last 18000 years BP (range from 0.7 to 3.2 pg g(-1)), and in snow samples from Coats Land covering the last 150 years (range from 0.2 to 16.1 pg g(-1)).</t>
  </si>
  <si>
    <t>Univ Venice, CNR, Inst Dynam Environm Proc, I-30123 Venice, Italy; CNRS, Lab Glaciol &amp; Geophys Environm, F-38402 St Martin Dheres, France; Univ Venice, Dept Environm Sci, I-30123 Venice, Italy; Univ Grenoble 1, Inst Univ France, F-38041 Grenoble, France; Univ Grenoble 1, Unite Format &amp; Rech Phys, F-38041 Grenoble, France; Univ Grenoble 1, Observ Sci Univ, Inst Univ France, F-38041 Grenoble, France; British Antarctic Survey, Cambridge CB3 0ET, England</t>
  </si>
  <si>
    <t>Consiglio Nazionale delle Ricerche (CNR); Istituto per la Dinamica dei Processi Ambientali (IDPA-CNR); Universita Ca Foscari Venezia; Centre National de la Recherche Scientifique (CNRS); Universita Ca Foscari Venezia; Communaute Universite Grenoble Alpes; Universite Grenoble Alpes (UGA); Institut Universitaire de France; Communaute Universite Grenoble Alpes; Universite Grenoble Alpes (UGA); Communaute Universite Grenoble Alpes; Universite Grenoble Alpes (UGA); Institut Universitaire de France; UK Research &amp; Innovation (UKRI); Natural Environment Research Council (NERC); NERC British Antarctic Survey</t>
  </si>
  <si>
    <t>Univ Venice, CNR, Inst Dynam Environm Proc, Dorsoduro 2137, I-30123 Venice, Italy.</t>
  </si>
  <si>
    <t>barbante@unive.it</t>
  </si>
  <si>
    <t>dommergue, aurelien/HLP-6539-2023; Wolff, Eric W/D-7925-2014; Frederic, Planchon A.M./A-8651-2010; Capodaglio, Gabriele/D-5295-2014; Barbante, Carlo/B-3195-2011; Dommergue, Aurelien/A-2829-2009; Cozzi, Giulio/R-4554-2019; Cairns, Warren/AAX-5018-2020; Cozzi, Giulio/F-6473-2010</t>
  </si>
  <si>
    <t>dommergue, aurelien/0000-0002-8185-9604; Wolff, Eric W/0000-0002-5914-8531; Capodaglio, Gabriele/0000-0002-3689-4865; Dommergue, Aurelien/0000-0002-8185-9604; Cozzi, Giulio/0000-0001-8796-4176; Cairns, Warren/0000-0002-7128-7753; Planchon, Frederic/0000-0003-1288-9698; Barbante, Carlo/0000-0003-4177-2288; Cescon, Paolo/0000-0003-1836-6759</t>
  </si>
  <si>
    <t>10.1039/b402711f</t>
  </si>
  <si>
    <t>WOS:000222472700002</t>
  </si>
  <si>
    <t>Gabrielli, P; Varga, A; Barbante, C; Boutron, C; Cozzi, G; Gaspari, V; Planchon, F; Cairns, W; Hong, SM; Ferrari, C; Capodaglio, G</t>
  </si>
  <si>
    <t>Determination of Ir and Pt down to the sub-femtogram per gram level in polar ice by ICP-SFMS using preconcentration and a desolvation system</t>
  </si>
  <si>
    <t>GREENLAND ICE; CADMIUM CONCENTRATIONS; ANTARCTIC ICE; HEAVY-METALS; SNOW; PLATINUM; IRIDIUM; ZINC; LEAD; ELEMENTS</t>
  </si>
  <si>
    <t>A new analytical methodology, based on inductively coupled plasma sector field mass spectrometry (ICP-SFMS) coupled with a micro-flow nebulizer and desolvation system, has been set up for the quantification of Ir and Pt down to the sub-ppq level (1 ppq=1 fg g(-1)=10(-15) g g(-1)) in polar ice samples. Ultra-clean procedures were adopted during the pre-treatment phases in our laboratories in order to avoid possible contamination problems and a preconcentration step by evaporation at sub-boiling temperatures was necessary. A procedural detection limit of 0.02 ppq and 0.08 ppq for Ir and Pt, respectively, was obtained. The reproducibility of the analytical procedure at the ppq level was about 50% for Ir and 30% for Pt and the recoveries were 75% and 93% for Ir and Pt, respectively. Spectral interferences, which affect the determination of Ir and Pt, were reduced by using a desolvation system for sample introduction. The contribution of the interfering species was determined and subtracted. This new method allowed us to analyse Ir and Pt in remote uncontaminated ice samples from Antarctica and Greenland down to the sub-ppq level. The concentration ranges were from 0.1 up to 5 ppq for Ir and from 0.2 up to 7 ppq for Pt. These measurements represent the first data of Ir concentrations in unfiltered melted ice samples and the lowest concentrations ever recorded for Pt in environmental samples.</t>
  </si>
  <si>
    <t>Univ Venice, Dept Environm Sci, I-30123 Venice, Italy; Univ Venice, Dept Environm Sci, I-30123 Venice, Italy; Univ Venice, CNR, Inst Dynam Environm Proc, I-30123 Venice, Italy; Univ Grenoble 1, Observ Sci Univ, F-38041 Grenoble, France; Univ Grenoble 1, Unite Format &amp; Rech Phys, Inst Univ France, F-38041 Grenoble, France; Korea Polar Res Inst, Korea Ocean Res &amp; Dev Inst, Seoul 425600, South Korea; Univ Grenoble 1, Ecole Polytech Univ Grenoble, Inst Univ France, F-38041 Grenoble, France; CNRS, Lab Glaciol &amp; Geophys Environm, F-38402 St Martin Dheres, France</t>
  </si>
  <si>
    <t>Universita Ca Foscari Venezia; Universita Ca Foscari Venezia; Universita Ca Foscari Venezia; Consiglio Nazionale delle Ricerche (CNR); Istituto per la Dinamica dei Processi Ambientali (IDPA-CNR); Communaute Universite Grenoble Alpes; Universite Grenoble Alpes (UGA); Communaute Universite Grenoble Alpes; Universite Grenoble Alpes (UGA); Institut Universitaire de France; Korea Polar Research Institute (KOPRI); Korea Institute of Ocean Science &amp; Technology (KIOST); Institut Universitaire de France; Communaute Universite Grenoble Alpes; Universite Grenoble Alpes (UGA); Centre National de la Recherche Scientifique (CNRS)</t>
  </si>
  <si>
    <t>Univ Venice, Dept Environm Sci, I-30123 Venice, Italy.</t>
  </si>
  <si>
    <t>Cozzi, Giulio/F-6473-2010; Cozzi, Giulio/R-4554-2019; Frederic, Planchon A.M./A-8651-2010; Barbante, Carlo/B-3195-2011; Cairns, Warren/AAX-5018-2020; Capodaglio, Gabriele/D-5295-2014</t>
  </si>
  <si>
    <t>Cozzi, Giulio/0000-0001-8796-4176; Cairns, Warren/0000-0002-7128-7753; Capodaglio, Gabriele/0000-0002-3689-4865; Planchon, Frederic/0000-0003-1288-9698; Barbante, Carlo/0000-0003-4177-2288</t>
  </si>
  <si>
    <t>10.1039/b316283d</t>
  </si>
  <si>
    <t>WOS:000222472700003</t>
  </si>
  <si>
    <t>Nichols, CAM; Garon, S; Bowman, JP; Raguénès, G; Guézennec, J</t>
  </si>
  <si>
    <t>Production of exopolysaccharides by Antarctic marine bacterial isolates</t>
  </si>
  <si>
    <t>JOURNAL OF APPLIED MICROBIOLOGY</t>
  </si>
  <si>
    <t>Antarctic marine bacteria; exopolysaccharides; particulate organic material; Pseudoalteromonas spp.; sea ice</t>
  </si>
  <si>
    <t>TRANSPARENT EXOPOLYMER PARTICLES; SEA-ICE; WEDDELL SEA; STANDING STOCK; SP-NOV; PHYTOPLANKTON; DIVERSITY; WATER; AGGREGATION; ABUNDANCE</t>
  </si>
  <si>
    <t>Aims: This study was undertaken to examine and characterize Antarctic marine bacterial isolates and the exopolysaccharides (EPS) they produce in laboratory culture. Methods and Results: Two EPS-producing bacterial strains CAM025 and CAM036 were isolated from particulate material sampled from seawater and sea ice in the southern ocean. Analyses of 16S rDNA sequences placed these isolates in the genus Pseudoalteromonas. In batch culture, both strains produced EPS. The yield of EPS produced by CAM025 was 30-fold higher at -2 and 10degreesC than at 20degreesC. Crude chemical analyses showed that these EPS were composed primarily of neutral sugars and uronic acids with sulphates. Gas chromatographic analysis of monosaccharides confirmed these gross compositional findings and molar ratios of monosaccharides revealed differences between the two EPS. Conclusions: The EPS produced by Antarctic bacterial isolates examined in this study appeared to be polyanionic and, therefore, 'sticky' with respect to cations such as trace metals. Significance and Impact of the Study: As the availability of iron as a trace metal is of critical importance in the southern ocean where it is know to limit primary production, the role of these bacterial EPS in the Antarctic marine environment has important ecological implications.</t>
  </si>
  <si>
    <t>Univ Tasmania, Sch Agr Sci, Hobart, Tas 7000, Australia; IFREMER, Ctr Brest, F-29280 Plouzane, France</t>
  </si>
  <si>
    <t>University of Tasmania; Ifremer</t>
  </si>
  <si>
    <t>Univ Tasmania, Sch Agr Sci, GPO Box 252-54, Hobart, Tas 7000, Australia.</t>
  </si>
  <si>
    <t>c.a.mancuso@utas.edu.au</t>
  </si>
  <si>
    <t>Bowman, John P/C-2414-2014; Nichols, Carol/C-2290-2008; Bowman, John P./ABF-5108-2020</t>
  </si>
  <si>
    <t>Bowman, John P/0000-0002-4528-9333; Nichols, Carol/0000-0002-2739-4690; Bowman, John P./0000-0002-4528-9333</t>
  </si>
  <si>
    <t>1364-5072</t>
  </si>
  <si>
    <t>1365-2672</t>
  </si>
  <si>
    <t>J APPL MICROBIOL</t>
  </si>
  <si>
    <t>J. Appl. Microbiol.</t>
  </si>
  <si>
    <t>10.1111/j.1365-2672.2004.02216.x</t>
  </si>
  <si>
    <t>819QF</t>
  </si>
  <si>
    <t>WOS:000221329000018</t>
  </si>
  <si>
    <t>Summers, D; Ma, C; Meredith, NP; Horne, RB; Thorne, RM; Anderson, RR</t>
  </si>
  <si>
    <t>Modeling outer-zone relativistic electron response to whistler-mode chorus activity during substorms</t>
  </si>
  <si>
    <t>JOURNAL OF ATMOSPHERIC AND SOLAR-TERRESTRIAL PHYSICS</t>
  </si>
  <si>
    <t>7th Biennial Magnetic Storm-Substorm Workshop</t>
  </si>
  <si>
    <t>HENNINGSVAER, NORWAY</t>
  </si>
  <si>
    <t>inner magnetosphere; storms and substorms; relativistic electrons; trapped energetic particles; wave-particle interaction; HILDCAA</t>
  </si>
  <si>
    <t>RADIATION BELT ELECTRONS; GEOMAGNETIC STORMS; MAGNETIC STORM; INNER MAGNETOSPHERE; EMIC WAVES; OCTOBER 9; ACCELERATION; ENERGIES; DIFFUSION; PLASMA</t>
  </si>
  <si>
    <t>Understanding the behavior of relativistic electrons in the Earth's outer radiation belt during substorms and storms is a current challenge in magnetospheric physics. In this paper, we model energetic electron fluxes at L = 5 during the course of three events using wave and particle data from the Combined Release and Radiation Effects Satellite (CRRES). The events comprise a strong magnetic storm with low levels of substorm and chorus wave activity; a moderate storm with enhanced levels of substorm and chorus activity during the recovery phase; and enhanced substorm and chorus activity in the absence of a significant storm signature. Relativistic electron flux enhancements are observed to occur during these events only when substorm and chorus activity are enhanced. We formulate a model kinetic equation for the electron energy distribution incorporating electron acceleration by stochastic gyroresonance with whistler-mode chorus, and electron loss by precipitation due to pitch-angle scattering by plasma waves. The model solutions are found to match reasonably well the CRRES data profiles of the electron differential flux for each event. We conclude that, not only for the events considered but in general, enhanced whistler-mode chorus waves generated during prolonged substorm activity can generate relativistic electron flux increases in the outer radiation zone, whether in the presence or absence of a magnetic storm. We further expect that stochastic acceleration by gyroresonant electron-whistler mode wave interaction could be an important mechanism for generating relativistic electrons during high-intensity long-duration continuous AE activity (HILDCAA) events. (C) 2003 Elsevier Ltd. All rights reserved.</t>
  </si>
  <si>
    <t>Mem Univ Newfoundland, Dept Math &amp; Stat, St John, NF A1C 5S7, Canada; Univ Calgary, Dept Comp Sci, Calgary, AB T2N 1N4, Canada; UCL, Mullard Space Sci Lab, Dorking RH5 6NT, Surrey, England; British Antarctic Survey, NERC, Cambridge CB3 0ET, England; Univ Calif Los Angeles, Dept Atmospher Sci, Los Angeles, CA 90095 USA; Univ Iowa, Dept Phys &amp; Astron, Iowa City, IA 52242 USA</t>
  </si>
  <si>
    <t>Memorial University Newfoundland; University of Calgary; University of London; University College London; UK Research &amp; Innovation (UKRI); Natural Environment Research Council (NERC); NERC British Antarctic Survey; University of California System; University of California Los Angeles; University of Iowa</t>
  </si>
  <si>
    <t>Mem Univ Newfoundland, Dept Math &amp; Stat, St John, NF A1C 5S7, Canada.</t>
  </si>
  <si>
    <t>dsummers@math.mun.ca</t>
  </si>
  <si>
    <t>1364-6826</t>
  </si>
  <si>
    <t>1879-1824</t>
  </si>
  <si>
    <t>J ATMOS SOL-TERR PHY</t>
  </si>
  <si>
    <t>J. Atmos. Sol.-Terr. Phys.</t>
  </si>
  <si>
    <t>10.1016/j.jastp.2003.09.013</t>
  </si>
  <si>
    <t>Geochemistry &amp; Geophysics; Meteorology &amp; Atmospheric Sciences</t>
  </si>
  <si>
    <t>770PW</t>
  </si>
  <si>
    <t>WOS:000188740100003</t>
  </si>
  <si>
    <t>Hadjinicolaou, P; Pyle, JA</t>
  </si>
  <si>
    <t>The impact of Arctic ozone depletion on northern middle latitudes: Interannual variability and dynamical control</t>
  </si>
  <si>
    <t>JOURNAL OF ATMOSPHERIC CHEMISTRY</t>
  </si>
  <si>
    <t>Arctic; middle latitudes; ozone depletion; interannual variability; waves</t>
  </si>
  <si>
    <t>GENERAL-CIRCULATION MODEL; POLAR VORTEX; STRATOSPHERIC OZONE; TRENDS; MIDLATITUDES; WINTER; TROPOSPHERE; SIMULATION; TRANSPORT</t>
  </si>
  <si>
    <t>We have investigated the effect of the export of Arctic ozone loss, or 'dilution', on midlatitude ozone depletion during the 1990s, and its relation to interannual meteorological variability. A stratospheric chemical-transport model incorporated a simple gas-phase ozone scheme with the addition of a parameterisation of polar depletion which depended only on temperature and duration of sunlight. The model was forced with the U. K. Meteorological Office analyses from 1991 to 1999 covering eight Northern Hemisphere winters. The modelled Arctic ozone column losses were about half the magnitude of those in the Antarctic and showed a considerable variation from year to year. The northern middle latitudes (40degrees - 60degrees N) were mainly affected through dilution and experienced a variable 5-20% depletion. Year-round there is a depletion of about 1% in northern middle latitudes due to activation at the pole but there is no evidence that this depletion increases with time during this integration. A series of inert tracer experiments for the winters from 1996 to 1999 showed that the dilution occurs primarily at the 560 K and 465 K isentropic levels where up to 30% of the air originating northward of 67degrees N on 1 March is found at 47degrees N later in spring. The strength and persistence of the Arctic vortex were crucial in determining the severity and the timing of the ozone dilution every year by influencing, respectively, the magnitude of the high-latitude depletion and the effectiveness of mixing to lower latitudes. This spring dilution was correlated with the winter/spring planetary wave activity indicating the important role of dynamical processes in regulating the polar-driven mid-latitude ozone depletion.</t>
  </si>
  <si>
    <t>Univ Cambridge, Dept Chem, Ctr Atmospher Sci, Cambridge CB2 1EW, England</t>
  </si>
  <si>
    <t>University of Cambridge</t>
  </si>
  <si>
    <t>Hadjinicolaou, P (corresponding author), Univ Cambridge, Dept Chem, Ctr Atmospher Sci, Lensfield Rd, Cambridge CB2 1EW, England.</t>
  </si>
  <si>
    <t>Panos.Hadjinicolaou@atm.ch.cam.ac.uk</t>
  </si>
  <si>
    <t>Hadjinicolaou, Panos/H-1729-2016</t>
  </si>
  <si>
    <t>Hadjinicolaou, Panos/0000-0003-1170-2182</t>
  </si>
  <si>
    <t>0167-7764</t>
  </si>
  <si>
    <t>J ATMOS CHEM</t>
  </si>
  <si>
    <t>J. Atmos. Chem.</t>
  </si>
  <si>
    <t>10.1023/B:JOCH.0000012242.06578.6c</t>
  </si>
  <si>
    <t>764NF</t>
  </si>
  <si>
    <t>WOS:000188212400002</t>
  </si>
  <si>
    <t>Corsaro, MM; Lanzetta, R; Parrilli, E; Parrilli, M; Tutino, ML; Ummarino, S</t>
  </si>
  <si>
    <t>Influence of growth temperature on lipid and phosphate contents of surface polysaccharides from the Antarctic bacterium Pseudoalteromonas haloplanktis TAC 125</t>
  </si>
  <si>
    <t>JOURNAL OF BACTERIOLOGY</t>
  </si>
  <si>
    <t>PSEUDOMONAS-SYRINGAE; PSYCHROTROPHIC BACTERIUM; LIPOPOLYSACCHARIDES; EXPRESSION; PROTEIN</t>
  </si>
  <si>
    <t>The chemical structural variations induced by different growth temperatures in the lipooligosaccharide and exopolysaccharide components extracted from the Antarctic bacterium Pseudoalteromonas haloplanktis TAC 125 are described. The increase in phosphorylation with the increase in growth temperature seems to be general, because it happens not only for the lipooligosaccharide but also for the exopolysaccharide. Structural variations in the lipid components of lipid A also occur. In addition, free lipid A is found at both 25 and 4degreesC but not at 15degreesC, which is the optimal growth temperature, suggesting a incomplete biosynthesis of the lipooligosaccharide component under the first two temperature conditions.</t>
  </si>
  <si>
    <t>Univ Naples Federico II, Dipartimento Chim Organ &amp; Biochim, I-80126 Naples, Italy</t>
  </si>
  <si>
    <t>University of Naples Federico II</t>
  </si>
  <si>
    <t>Univ Naples Federico II, Dipartimento Chim Organ &amp; Biochim, Complesso Univ Monte S Angelo,Via Cynthia 4, I-80126 Naples, Italy.</t>
  </si>
  <si>
    <t>corsaro@unina.it</t>
  </si>
  <si>
    <t>Corsaro, Maria Michela/T-6190-2019; parrilli, ermenegilda/K-4616-2016; parrilli, ermenegilda/JAZ-0586-2023; TUTINO, MARIA LUISA/L-1834-2013</t>
  </si>
  <si>
    <t>Corsaro, Maria Michela/0000-0002-6834-8682; parrilli, ermenegilda/0000-0002-9002-5409; LANZETTA, Rosa/0000-0002-1472-5825; Tutino, Maria Luisa/0000-0002-4978-6839; Parrilli, Michelangelo/0000-0001-8858-3623</t>
  </si>
  <si>
    <t>0021-9193</t>
  </si>
  <si>
    <t>1098-5530</t>
  </si>
  <si>
    <t>J BACTERIOL</t>
  </si>
  <si>
    <t>J. Bacteriol.</t>
  </si>
  <si>
    <t>10.1128/JB.186.1.29-34.2004</t>
  </si>
  <si>
    <t>760AE</t>
  </si>
  <si>
    <t>WOS:000187787400005</t>
  </si>
  <si>
    <t>Toniazzo, T; Gregory, JM; Huybrechts, P</t>
  </si>
  <si>
    <t>Climatic impact of a Greenland deglaciation and its possible irreversibility</t>
  </si>
  <si>
    <t>ANTARCTIC ICE SHEETS; SEA-LEVEL RISE; MASS-BALANCE; MODEL; ACCUMULATION; HADAM3</t>
  </si>
  <si>
    <t>Warmer climate conditions persisting for a period of many centuries could lead to the disappearance of the Greenland ice sheet, with a related 7-m rise in sea level. The question is addressed of whether the ice sheet could be regenerated if preindustrial climate conditions were reestablished after its melting. The HadCM3 coupled atmosphere - ocean GCM is used to simulate the global and regional climate with preindustrial atmospheric greenhouse gas composition and with the Greenland ice sheet removed. Two separate cases are considered. In one, the surface topography of Greenland is given by that of the bedrock currently buried under the ice sheet. In the other, a readjustment to isostatic equilibrium of the unloaded orography is taken into account, giving higher elevations. In both cases, there is greater summer melting than in the current climate, leading to partially snow-free summers with much higher temperatures. On the long-term average, there is no accumulation of snow. The implication of this result is that the removal of the Greenland ice sheet due to a prolonged climatic warming would be irreversible.</t>
  </si>
  <si>
    <t>Met Off, Hadley Ctr Climate Predict &amp; Res, Bracknell RG12 2SY, Berks, England; Univ Reading, Dept Meteorol, Ctr Global Atmospher Modelling, Reading, Berks, England; Alfred Wegener Inst Polar &amp; Marine Res, Bremerhaven, Germany; Free Univ Brussels, Dept Geog, Brussels, Belgium</t>
  </si>
  <si>
    <t>Met Office - UK; Hadley Centre; UK Research &amp; Innovation (UKRI); Natural Environment Research Council (NERC); NERC National Centre for Atmospheric Science; Met Office - UK; NERC National Centre for Earth Observation; University of Reading; Helmholtz Association; Alfred Wegener Institute, Helmholtz Centre for Polar &amp; Marine Research; Universite Libre de Bruxelles</t>
  </si>
  <si>
    <t>Gregory, JM (corresponding author), Met Off, Hadley Ctr Climate Predict &amp; Res, London Rd, Bracknell RG12 2SY, Berks, England.</t>
  </si>
  <si>
    <t>Gregory, Jonathan/J-2939-2016; Huybrechts, Philippe/J-5278-2013</t>
  </si>
  <si>
    <t>Gregory, Jonathan/0000-0003-1296-8644; Huybrechts, Philippe/0000-0003-1406-0525; Toniazzo, Thomas/0000-0001-9375-7034</t>
  </si>
  <si>
    <t>10.1175/1520-0442(2004)017&lt;0021:CIOAGD&gt;2.0.CO;2</t>
  </si>
  <si>
    <t>759MX</t>
  </si>
  <si>
    <t>WOS:000187742400002</t>
  </si>
  <si>
    <t>Bromwich, DH; Monaghan, AJ; Guo, ZC</t>
  </si>
  <si>
    <t>Modeling the ENSO modulation of Antarctic climate in the late 1990s with the polar MM5</t>
  </si>
  <si>
    <t>NCEP-NCAR REANALYSIS; SEA-ICE EXTENT; SOUTHERN-HEMISPHERE; ATMOSPHERIC CIRCULATION; INTERANNUAL VARIABILITY; ECMWF REANALYSES; KATABATIC WINDS; WEST ANTARCTICA; HIGH-LATITUDES; EL-NINO</t>
  </si>
  <si>
    <t>The Polar fifth-generation Pennsylvania State University - NCAR Mesoscale Model (MM5) is employed to examine the El Nino - Southern Oscillation (ENSO) modulation of Antarctic climate for July 1996 - June 1999, which is shown to be stronger than for the mean modulation from 1979 to 1999 and appears to be largely due to an eastward shift and enhancement of convection in the tropical Pacific Ocean. This study provides a more comprehensive assessment than can be achieved with observational datasets by using a regional atmospheric model adapted for high-latitude applications ( Polar MM5). The most pronounced ENSO response is observed over the Ross Ice Shelf - Marie Byrd Land and over the Weddell Sea - Ronne/Filchner Ice Shelf. In addition to having the largest climate variability associated with ENSO, these two regions exhibit anomalies of opposite sign throughout the study period, which supports and extends similar findings by other investigators. The dipole structure is observed in surface temperature, meridional winds, cloud fraction, and precipitation. The ENSO-related variability is primarily controlled by the large-scale circulation anomalies surrounding the continent, which are consistent throughout the troposphere. When comparing the El Nino/La Nina phases of this late 1990s ENSO cycle, the circulation anomalies are nearly mirror images over the entire Antarctic, indicating their significant modulation by ENSO. Large temperature anomalies, especially in autumn, are prominent over the major ice shelves. This is most likely due to their relatively low elevation with respect to the continental interior making them more sensitive to shifts in synoptic forcing offshore of Antarctica, especially during months with considerable open water. The Polar MM5 simulations are in broad agreement with observational data, and the simulated precipitation closely follows the European Centre for Medium-Range Weather Forecasts Tropical Ocean - Global Atmosphere precipitation trends over the study period. The collective findings of this work suggest the Polar MM5 is capturing ENSO-related atmospheric variability with good skill and may be a useful tool for future climate studies.</t>
  </si>
  <si>
    <t>Ohio State Univ, Byrd Polar Res Ctr, Polar Meteorol Grp, Columbus, OH 43210 USA; Ohio State Univ, Dept Geog, Atmospher Sci Program, Columbus, OH 43210 USA</t>
  </si>
  <si>
    <t>Bromwich, DH (corresponding author), Ohio State Univ, Byrd Polar Res Ctr, Polar Meteorol Grp, 1090 Carmack Rd, Columbus, OH 43210 USA.</t>
  </si>
  <si>
    <t>Monaghan, Andrew/0000-0002-8170-2359</t>
  </si>
  <si>
    <t>10.1175/1520-0442(2004)017&lt;0109:MTEMOA&gt;2.0.CO;2</t>
  </si>
  <si>
    <t>WOS:000187742400008</t>
  </si>
  <si>
    <t>Lau, NC; Nath, MJ</t>
  </si>
  <si>
    <t>Coupled GCM simulation of atmosphere-ocean variability associated with zonally asymmetric SST changes in the tropical Indian Ocean</t>
  </si>
  <si>
    <t>SEA-SURFACE TEMPERATURES; ANTARCTIC CIRCUMPOLAR WAVE; DIPOLE MODE EVENTS; CAUTIONARY NOTE; ANNULAR MODES; EXTRATROPICAL CIRCULATION; CLIMATE VARIABILITY; PART I; ENSO; PACIFIC</t>
  </si>
  <si>
    <t>The nature of a recurrent pattern of variability in the tropical Indian Ocean (IO) during the boreal autumn has been investigated using a 900-yr experiment with a coupled atmosphere-ocean general circulation model. This Indian Ocean Pattern (IOP) is characterized by zonal surface wind perturbations along the equator, as well as east-west contrasts in the anomalous sea surface temperature (SST), surface pressure, and precipitation fields. The IOP is seen to be linked to the El Nino-Southern Oscillation (ENSO) phenomenon in the tropical Pacific. By constructing composite charts and analyzing the heat budget for the top ocean layer, it is illustrated that the ENSO-related changes in the surface wind modify the intensity of oceanic upwelling, horizontal temperature advection, and surface heat fluxes in various parts of the IO basin. These processes lead to SST perturbations with opposite signs in the eastern and western equatorial IO. Further diagnosis of the model output reveals that some strong IOP episodes occur even in the near absence of ENSO influences. In such IOP events that do not coincide with prominent ENSO development, the most noteworthy signal is a zonally elongated sea level pressure anomaly situated south of Australia during the southern winter. The anomalous atmospheric circulation on the equatorward flank of this feature contributes to the initiation of IOP-like events when the ENSO forcing is weak. Both simulated and observational data show that the pressure anomaly south of Australia is part of a hemisphere-wide pattern bearing a considerable resemblance to the Antarctic Oscillation. This annular mode of variability is characterized by opposite pressure changes in the midlatitude and polar zones, and is only weakly correlated with ENSO. The findings reported here indicate that the IOP is attributable to multiple factors, including remote influences due to ENSO and extratropical changes, as well as internal air-sea feedbacks occurring within the IO basin.</t>
  </si>
  <si>
    <t>Princeton Univ, NOAA, Geophys Fluid Dynam Lab, Princeton, NJ 08542 USA</t>
  </si>
  <si>
    <t>National Oceanic Atmospheric Admin (NOAA) - USA; Princeton University</t>
  </si>
  <si>
    <t>Princeton Univ, NOAA, Geophys Fluid Dynam Lab, POB 308, Princeton, NJ 08542 USA.</t>
  </si>
  <si>
    <t>Gabriel.Lau@noaa.gov</t>
  </si>
  <si>
    <t>10.1175/1520-0442(2004)017&lt;0245:CGSOAV&gt;2.0.CO;2</t>
  </si>
  <si>
    <t>767RR</t>
  </si>
  <si>
    <t>WOS:000188466900001</t>
  </si>
  <si>
    <t>Fitzpatrick, MF; Brandt, RE; Warren, SG</t>
  </si>
  <si>
    <t>Transmission of solar radiation by clouds over snow and ice surfaces: A parameterization in terms of optical depth, solar zenith angle, and surface albedo</t>
  </si>
  <si>
    <t>GROUND-BASED MEASUREMENTS; INDEPENDENT SPHERES; SEA-ICE; ABSORPTION; SCATTERING; THICKNESS; PARTICLE; REPRESENTATION; ULTRAVIOLET; COLLECTION</t>
  </si>
  <si>
    <t>A multilevel spectral radiative transfer model is used to develop simple but accurate parameterizations for cloud transmittance as a function of cloud optical depth, solar zenith angle, and surface albedo, for use over snow, ice, and water surfaces. The same functional form is used for broadband and spectral transmittances, but with different coefficients for each spectral interval. When the parameterization is applied to measurements of raw'' cloud transmittance (the ratio of downward irradiance under cloud to downward irradiance measured under clear sky at the same zenith angle), an effective'' optical depth tau is inferred for the cloud field, which may be inhomogeneous and even patchy. This effective optical depth is only a convenient intermediate quantity, not an end in itself. It can then be used to compute what the transmittance of this same cloud field would be under different conditions of solar illumination and surface albedo, to obtain diurnal and seasonal cycles of cloud radiative forcing. The parameterization faithfully mimics the radiative transfer model, with rms errors of 1%-2%. Lack of knowledge of cloud droplet sizes causes little error in the inference of cloud radiative properties. The parameterization is applied to pyranometer measurements from a ship in the Antarctic sea ice zone; the largest source of error in inference of inherent cloud properties is uncertainty in surface albedo.</t>
  </si>
  <si>
    <t>Univ Washington, Dept Earth &amp; Space Sci, Seattle, WA 98195 USA; Univ Washington, Dept Atmospher Sci, Seattle, WA 98195 USA</t>
  </si>
  <si>
    <t>Univ Washington, Dept Earth &amp; Space Sci, Box 351310, Seattle, WA 98195 USA.</t>
  </si>
  <si>
    <t>fitz@atmos.washington.edu</t>
  </si>
  <si>
    <t>10.1175/1520-0442(2004)017&lt;0266:TOSRBC&gt;2.0.CO;2</t>
  </si>
  <si>
    <t>WOS:000188466900002</t>
  </si>
  <si>
    <t>Hong, SM; Barbante, C; Boutron, C; Gabrielli, P; Gaspari, V; Cescon, P; Thompson, L; Ferrari, C; Francou, B; Maurice-Bourgoin, L</t>
  </si>
  <si>
    <t>Atmospheric heavy metals in tropical South America during the past 22000 years recorded in a high altitude ice core from Sajama, Bolivia</t>
  </si>
  <si>
    <t>JOURNAL OF ENVIRONMENTAL MONITORING</t>
  </si>
  <si>
    <t>ANTARCTIC SNOW; SILVER; ANCIENT; GOLD; PB</t>
  </si>
  <si>
    <t>V, Co, Cu, Zn, As, Rb, Sr, Ag, Cd, Ba, Pb, Bi and U have been analysed by inductively coupled plasma sector field mass spectrometry in various sections of a dated snow/ice core drilled at an altitude of 6542 m on the Sajama ice cap in Bolivia. The analysed sections were dated from the Last Glacial Stage (similar to22 000 years ago), the Mid-Holocene and the last centuries. The observed variations of crustal enrichment factors (EFc) for the various metals show contrasting situations. For V, Co, Rb, Sr and U, EFc values close to unity are observed for all sections, then showing that these elements are mainly derived from rock and soil dust. For the other metals, clear time trends are observed, with a pronounced increase of EFc values during the 19th and 20th centuries. This increase shows evidence of metal pollution associated with human activity in South America. For Pb an important contribution was from gasoline additives. For metals such as Cu, Zn, Ag and Cd an important contribution was from metal production activities, with a continuous increase of production during the 20th century in countries such as Peru, Chile and Bolivia.</t>
  </si>
  <si>
    <t>Univ Venice, Dept Environm Sci, I-30123 Venice, Italy; Korea Ocean Res &amp; Dev Inst, Korea Polar Res Inst, Seoul 425600, South Korea; Univ Venice, CNR, Inst Dynam Environm Proc, I-30123 Venice, Italy; Lab Glaciol &amp; Geophys Environm, F-38402 St Martin Dheres, France; Univ Grenoble 1, Inst Univ France, Unite Format &amp; Rech Phys, F-38041 Grenoble, France; Univ Grenoble 1, Inst Univ France, Observ Sci Univers, F-38041 Grenoble, France; Ohio State Univ, Dept Geol Sci, Byrd Polar Res Ctr, Columbus, OH 43210 USA; Univ Grenoble 1, Inst Univ France, Polytech Grenoble, F-38041 Grenoble, France; Inst Rech Dev, BR-71619970 Brasilia, DF, Brazil</t>
  </si>
  <si>
    <t>Universita Ca Foscari Venezia; Korea Polar Research Institute (KOPRI); Korea Institute of Ocean Science &amp; Technology (KIOST); Consiglio Nazionale delle Ricerche (CNR); Istituto per la Dinamica dei Processi Ambientali (IDPA-CNR); Universita Ca Foscari Venezia; Institut Universitaire de France; Communaute Universite Grenoble Alpes; Universite Grenoble Alpes (UGA); Communaute Universite Grenoble Alpes; Universite Grenoble Alpes (UGA); Institut Universitaire de France; University System of Ohio; Ohio State University; Communaute Universite Grenoble Alpes; Institut National Polytechnique de Grenoble; Universite Grenoble Alpes (UGA); Institut Universitaire de France; Institut de Recherche pour le Developpement (IRD)</t>
  </si>
  <si>
    <t>Univ Venice, Dept Environm Sci, Ca Foscari, I-30123 Venice, Italy.</t>
  </si>
  <si>
    <t>Maurice, Laurence/H-5763-2015; Maurice, Laurence/T-2636-2019; Barbante, Carlo/B-3195-2011</t>
  </si>
  <si>
    <t>Maurice, Laurence/0000-0003-3482-3892; Barbante, Carlo/0000-0003-4177-2288; Cescon, Paolo/0000-0003-1836-6759</t>
  </si>
  <si>
    <t>1464-0325</t>
  </si>
  <si>
    <t>1464-0333</t>
  </si>
  <si>
    <t>J ENVIRON MONITOR</t>
  </si>
  <si>
    <t>J. Environ. Monit.</t>
  </si>
  <si>
    <t>10.1039/b314251e</t>
  </si>
  <si>
    <t>807VS</t>
  </si>
  <si>
    <t>WOS:000220529600013</t>
  </si>
  <si>
    <t>Arnaud, F; Revel-Rolland, M; Bosch, D; Winiarski, T; Desmet, M; Tribovillard, N; Givelet, N</t>
  </si>
  <si>
    <t>A 300 year history of lead contamination in northern French Alps reconstructed from distant lake sediment records</t>
  </si>
  <si>
    <t>6th International Symposium on Environmental Geochemistry</t>
  </si>
  <si>
    <t>SEP 07-11, 2003</t>
  </si>
  <si>
    <t>Edinburgh, SCOTLAND</t>
  </si>
  <si>
    <t>ATMOSPHERIC LEAD; ISOTOPIC COMPOSITION; POLLUTION HISTORY; NORTHWESTERN ALPS; ANTARCTIC SNOW; SW FRANCE; NW ALPS; PB; ICE; GREENLAND</t>
  </si>
  <si>
    <t>Lead concentrations and isotopic ratios were measured along two well-dated sediment cores from two distant lakes: Anterne (2100 m a.s.l.) and Le Bourget (270 m a.s.l.), submitted to low and high direct human impact and covering the last 250 and 600 years, respectively. The measurement of lead in old sediment samples (&gt; 3000 BP) permits, in using mixing-models, the determination of lead concentration, flux and isotopic composition of purely anthropogenic origin. We thus show that since ca. 1800 AD the regional increase in lead contamination was mostly driven by coal consumption (Pb-206/Pb-207 similar to 1.17-1.19; Pb-206/(204) Pb similar to 18.3-18.6), which peaks around 1915 AD. The increasing usage of leaded gasoline, introduced in the 1920s, was recorded in both lakes by increasing Pb concentrations and decreasing Pb isotope ratios. A peak around 1970 (Pb-206/Pb-207 similar to 1.13-1.16; Pb-206/Pb-204 similar to 17.6-18.0) corresponds to the worldwide recorded leaded gasoline maximum of consumption. The 1973 oil crisis is characterised by a drastic drop of lead fluxes in both lakes (from similar to35 to &lt; 20 mg cm(-2) yr(-1)). In the late 1980s, environmental policies made the Lake Anterne flux drop to pre-1900 values (&lt; 10 mg cm(-2) yr(-1)) while Lake Le Bourget is always submitted to an important flux (similar to25 mg cm(-2) yr(-1)). The good match of our distant records, together and with a previously established series in an ice core from Mont Blanc, 1 provides confidence in the use of sediments as archives of lead contamination. The integration of the Mont Blanc ice core results from Rosman et al.(1) with our data highlights, from 1990 onward, a decoupling in lead sources between the high elevation sites ( Lake Anterne and Mont Blanc ice core), submitted to a mixture of long-distance and regional contamination and the low elevation site ( Lake Le Bourget), where regional contamination is predominant.</t>
  </si>
  <si>
    <t>UST Lille 1, UMR Proc &amp; Bilan Domaine Sedimentaire 8110, F-59655 Villeneuve Dascq, France; Univ Grenoble 1, Observ Sci Univ Grenoble, Lab Geodynam Chaines Alpines, UMR 5025, F-38400 St Martin Dheres, France; Univ Montpellier 2, Lab Tectonophys, UMR 5568, F-34095 Montpellier, France; ENTPE Lab Sci Environm, F-69518 Vaulx en Velin, France; Univ SAvoie, Lab Geodynam Chaines Alpines, UMR 5025, F-73373 Le Bourget Du Lac, France</t>
  </si>
  <si>
    <t>Universite de Lille; Communaute Universite Grenoble Alpes; Universite Grenoble Alpes (UGA); Universite de Montpellier; Communaute Universite Grenoble Alpes; Universite Grenoble Alpes (UGA); Universite Savoie Mont Blanc</t>
  </si>
  <si>
    <t>Arnaud, F (corresponding author), EDYTEM, Bat Belledonne Univ Savoie Technolac, F-73373 Le Bourget Du Lac, France.</t>
  </si>
  <si>
    <t>fabien.arnaud@ed.univ-lille1.fr</t>
  </si>
  <si>
    <t>Tribovillard, Nicolas/B-6185-2009; Bosch, Delphine/AAB-3805-2020; Bosch, Delphine C/D-8233-2015; Arnaud, Fabien/F-7003-2012; Bosch, Delphine/F-1302-2010</t>
  </si>
  <si>
    <t>Tribovillard, Nicolas/0000-0003-3493-5579; Bosch, Delphine/0000-0002-7903-710X; Arnaud, Fabien/0000-0002-8706-9902;</t>
  </si>
  <si>
    <t>10.1039/b314947a</t>
  </si>
  <si>
    <t>822AR</t>
  </si>
  <si>
    <t>WOS:000221507000013</t>
  </si>
  <si>
    <t>Schuller, P; Bunzl, K; Voigt, G; Ellies, A; Castillo, A</t>
  </si>
  <si>
    <t>Global fallout 137Cs accumulation and vertical migration in selected soils from South Patagonia</t>
  </si>
  <si>
    <t>JOURNAL OF ENVIRONMENTAL RADIOACTIVITY</t>
  </si>
  <si>
    <t>Cs-137; soil; convection velocity; diffusion coefficient; plants; patagonia</t>
  </si>
  <si>
    <t>SPATIAL VARIABILITY; CHILE</t>
  </si>
  <si>
    <t>The spatial distribution and vertical migration of global fallout Cs-137 were studied in soils from South Patagonia at the austral region of South America in semi-natural and natural environments located between 50-54degrees S and 68-74degrees W. The Cs-137 areal activity density varied from 222 to 858 Bq m(-2), and was found to be significantly positively correlated (p &lt; 0.001) with the mean annual precipitation rate. The fraction of the total activity density observed in steppe grass varied from &lt;0.03% to 0.12% (median &lt;0.07%) and is considerably lower than the results obtained at the South Shetland Islands (median 8%) and in other temperate environments in south-central Chile (median 0.2%). The median of the convection velocity nu(s) of Cs-137 in the soil in such polar isotundra climate has been determined to be 0.056 cm y(-1). This value is higher than vs determined under polar climate (-0.012 cm y(-1)) and is near to the upper limit of nu(s)-values determined in temperate environments from Chile (0.019 cm y(-1)). The median value of the diffusion coefficient D-s (0.048 cm(2) y(-1)) is similar to D-s observed in an Antarctic region (0.043 cm(2) y(-1)) and lower than D-s in temperate regions of Chile (1.24 cm(2) y(-1)). About 35 years after the highest depositions, Cs-137 had penetrated to a depth of 6-14 cm in the Patagonian soils and can be expected to remain in the rooting zone of grass for many decades. Nevertheless, because of its low transfer to steppe grass observed at this region, the radioecological sensitivity of this ecosystem with respect to fallout radiocesium seems to be lower than in other polar regions. (C) 2003 Elsevier Ltd. All rights reserved.</t>
  </si>
  <si>
    <t>Univ Austral Chile, Valdivia, Chile; GSF, Inst Radiat Protect, D-85764 Neuherberg, Germany; IAEA Agcy Labs Seibersdorf, A-1400 Vienna, Austria</t>
  </si>
  <si>
    <t>Universidad Austral de Chile; Helmholtz Association; Helmholtz-Center Munich - German Research Center for Environmental Health; International Atomic Energy Agency</t>
  </si>
  <si>
    <t>Schuller, P (corresponding author), Univ Austral Chile, Casilla 567, Valdivia, Chile.</t>
  </si>
  <si>
    <t>0265-931X</t>
  </si>
  <si>
    <t>J ENVIRON RADIOACTIV</t>
  </si>
  <si>
    <t>J. Environ. Radioact.</t>
  </si>
  <si>
    <t>10.1016/S0265-931X(03)00140-1</t>
  </si>
  <si>
    <t>759AA</t>
  </si>
  <si>
    <t>WOS:000187714000004</t>
  </si>
  <si>
    <t>Watanuki, Y; Takahashi, A; Sato, K; Kato, A; Bost, CA</t>
  </si>
  <si>
    <t>Inter-colony and sex differences in the effects of parental body condition and foraging effort on the brood growth of Adelie penguins</t>
  </si>
  <si>
    <t>JOURNAL OF ETHOLOGY</t>
  </si>
  <si>
    <t>food provisioning; body condition; seabird; foraging distance; diving time</t>
  </si>
  <si>
    <t>RESOURCE-ALLOCATION; REPRODUCTIVE EFFORT; PYGOSCELIS-ADELIAE; BECHERVAISE-ISLAND; BREEDING SUCCESS; ANTARCTIC PETREL; DIVING BEHAVIOR; REARING CHICKS; FOOD; ICE</t>
  </si>
  <si>
    <t>Among colonies with different foraging distances, central-place-foraging seabirds may change their foraging and reproductive efforts. We compared the body condition, meal frequency, and diving behavior of male and female Adelie penguins at two locations: Dumont d'Urville, where there was little sea ice and they foraged in open waters far from the colony; and Syowa, where there was heavy, fast sea ice and they foraged in ice cracks close to the colony. The parental mass decrease rate during the chick-rearing period was similar between colonies and between sexes. A large individual variation in meal frequency positively affected the brood growth rate, but daily underwater time did not. A weak but significant positive effect of body condition on brood growth rate was found only in males at Syowa. It was suggested that males work with better body condition than females. We propose the hypothesis that the regional difference in the distance to the feeding sites and the sex difference in body energy reserve might constrain the capacity to regulate reproductive effort.</t>
  </si>
  <si>
    <t>Hokkaido Univ, Grad Sch Agr, Lab Anim Ecol, Sapporo, Hokkaido 0608589, Japan; Grad Univ Adv Studies, Dept Polar Sci, Tokyo, Japan; Natl Inst Polar Res, Tokyo 173, Japan; CNRS, Ctr Ecol &amp; Physiol Energet, Strasbourg, France</t>
  </si>
  <si>
    <t>Hokkaido University; Graduate University for Advanced Studies - Japan; Research Organization of Information &amp; Systems (ROIS); National Institute of Polar Research (NIPR) - Japan; Centre National de la Recherche Scientifique (CNRS); Universites de Strasbourg Etablissements Associes; Universite de Strasbourg</t>
  </si>
  <si>
    <t>Watanuki, Y (corresponding author), Hokkaido Univ, Grad Sch Fisheries Sci, 3-1-1 Minatocho, Hakodate, Hokkaido 0418611, Japan.</t>
  </si>
  <si>
    <t>ywata@fish.hokudai.ac.jp</t>
  </si>
  <si>
    <t>Kato, Akiko/W-2447-2019</t>
  </si>
  <si>
    <t>Kato, Akiko/0000-0002-8947-3634</t>
  </si>
  <si>
    <t>SPRINGER JAPAN KK</t>
  </si>
  <si>
    <t>SHIROYAMA TRUST TOWER 5F, 4-3-1 TORANOMON, MINATO-KU, TOKYO, 105-6005, JAPAN</t>
  </si>
  <si>
    <t>0289-0771</t>
  </si>
  <si>
    <t>1439-5444</t>
  </si>
  <si>
    <t>J ETHOL</t>
  </si>
  <si>
    <t>J. Ethol.</t>
  </si>
  <si>
    <t>10.1007/s10164-003-0108-9</t>
  </si>
  <si>
    <t>Behavioral Sciences; Zoology</t>
  </si>
  <si>
    <t>766PY</t>
  </si>
  <si>
    <t>WOS:000188385800014</t>
  </si>
  <si>
    <t>Tribbeck, MJ; Gurney, RJ; Morris, EM; Pearson, DWC</t>
  </si>
  <si>
    <t>A new Snow-SVAT to simulate the accumulation and ablation of seasonal snow cover beneath a forest canopy</t>
  </si>
  <si>
    <t>JOURNAL OF GLACIOLOGY</t>
  </si>
  <si>
    <t>ENERGY-BALANCE; BOREAL FORESTS; INTERCEPTION; RADIATION; ALBEDO; MODEL; SHORTWAVE; SCALE; STAND</t>
  </si>
  <si>
    <t>A new snow-soil-vegetation-atmosphere transfer (Snow-SVAT) scheme, which simulates the accumulation and ablation of the snow cover beneath a forest canopy, is presented. The model was formulated by coupling a canopy optical and thermal radiation model to a physically based multi-layer snow model. This canopy radiation model is physically based yet requires few parameters, so can be used when extensive in situ field measurements are not available. Other forest effects such as the reduction of wind speed, interception of snow on the canopy and the deposition of litter were incorporated within this combined model, SNOWCAN, which was tested with data taken as part of the Boreal Ecosystem-Atmosphere Study (BOREAS) international collaborative experiment. Snow depths beneath four different canopy types and at an open site were simulated. Agreement between observed and simulated snow depths was generally good, with correlation coefficients ranging between r(2) = 0.94 and r(2) = 0.98 for all sites where automatic measurements were available. However, the simulated date of total snowpack ablation generally occurred later than the observed date. A comparison between simulated solar radiation and limited measurements of sub-canopy radiation at one site indicates that the model simulates the sub-canopy downwelling solar radiation early in the season to within measurement uncertainty.</t>
  </si>
  <si>
    <t>Univ Reading, Environm Syst Sci Ctr, Reading RG6 6AL, Berks, England; British Antarctic Survey, NERC, Cambridge CB3 0ET, England</t>
  </si>
  <si>
    <t>University of Reading; UK Research &amp; Innovation (UKRI); Natural Environment Research Council (NERC); NERC British Antarctic Survey</t>
  </si>
  <si>
    <t>Univ Reading, Environm Syst Sci Ctr, 3 Earley Gate, Reading RG6 6AL, Berks, England.</t>
  </si>
  <si>
    <t>mjl@mail.nerc-essc.ac.uk</t>
  </si>
  <si>
    <t>Sandells, Melody/AAO-4664-2020; Morris, Elizabeth M/A-6081-2012</t>
  </si>
  <si>
    <t>Sandells, Melody/0000-0002-4120-5163;</t>
  </si>
  <si>
    <t>NERC [bas010011] Funding Source: UKRI; Natural Environment Research Council [bas010011] Funding Source: researchfish</t>
  </si>
  <si>
    <t>EDINBURGH BLDG, SHAFTESBURY RD, CB2 8RU CAMBRIDGE, ENGLAND</t>
  </si>
  <si>
    <t>0022-1430</t>
  </si>
  <si>
    <t>1727-5652</t>
  </si>
  <si>
    <t>J GLACIOL</t>
  </si>
  <si>
    <t>J. Glaciol.</t>
  </si>
  <si>
    <t>10.3189/172756504781830187</t>
  </si>
  <si>
    <t>907LZ</t>
  </si>
  <si>
    <t>WOS:000227720900002</t>
  </si>
  <si>
    <t>Wu, XL; Jezek, KG</t>
  </si>
  <si>
    <t>Antarctic ice-sheet balance velocities from merged point and vector data</t>
  </si>
  <si>
    <t>DIGITAL ELEVATION MODEL; MASS-BALANCE; FLOW; SYSTEM; SHELF</t>
  </si>
  <si>
    <t>We estimate Antarctic ice-flow balance velocities, which are the average speeds that ice must flow downslope through a volume assuming that there are equal amounts of ice entering and leaving the ice volume. We use the OSU (Ohio State University) digital elevation model of Antarctica, recent ice accumulation rate data and the BEDMAP ice-thickness data compilations for Antarctica to characterize the physical properties of the ice sheet that are included in the balance-velocity calculation. We adapt a flux algorithm from the hydrology literature that enables us to calculate the flux distribution from any cell in any order. Flux from one cell to its neighbors is partitioned as a simple function of surface slope direction. Digitized flow-stripe directions from satellite images minimize errors in flow direction where surface slopes are low or complex. We estimate errors in balance velocity arising from errors in the data and show semi-quantitatively how properties of the algorithm bias the balance-velocity result. We find a favorable comparison between our model and observed velocity data as well as the balance-velocity patterns reported by other researchers.</t>
  </si>
  <si>
    <t>Ohio State Univ, Dept Geog, Columbus, OH 43210 USA; Ohio State Univ, Byrd Polar Res Ctr, Columbus, OH 43210 USA; Ohio State Univ, Dept Geol Sci, Columbus, OH 43210 USA</t>
  </si>
  <si>
    <t>University System of Ohio; Ohio State University; University System of Ohio; Ohio State University; University System of Ohio; Ohio State University</t>
  </si>
  <si>
    <t>Ohio State Univ, Dept Geog, Derby Hall 1036,154 N Oval Mail, Columbus, OH 43210 USA.</t>
  </si>
  <si>
    <t>jezek.1@osu.edu</t>
  </si>
  <si>
    <t>10.3189/172756504781830042</t>
  </si>
  <si>
    <t>WOS:000227720900006</t>
  </si>
  <si>
    <t>Ice temperature and high geothermal flux at Siple Dome, West Antarctica, from borehole measurements</t>
  </si>
  <si>
    <t>PINE ISLAND; BASAL MELT; STREAM B; SHEET; BENEATH; MIGRATION; PROFILES; GLACIERS; DIVIDE; RADAR</t>
  </si>
  <si>
    <t>A vertical temperature profile through the West Antarctic ice sheet (WAIS) at the summit of Siple Dome reveals an elevated geothermal flux. This could be the root cause for the existence of a dynamic ice-stream system in the WAIS. Siple Dome is still frozen on its bed, but adjacent ice streams have bed temperatures at the pressure-melting point of ice. Although present-day temperature increases due to climatic change do not have an immediate effect on the basal conditions that control the velocity of the ice, indirect effects like a rapid disintegration of the floating ice shelves or additional meltwater input at the surface could give rise to speed-up of the ice streams with an ensuing rise in sea level. Ongoing melt at the base of the ice and changes at the margins will allow continued rapid flow of the ice streams with a possibility of disintegration, within a relatively short period of time, of at least part of the WAIS.</t>
  </si>
  <si>
    <t>CALTECH, Div Geol &amp; Planetary Sci, 100-23, Pasadena, CA 91125 USA.</t>
  </si>
  <si>
    <t>engel@caltech.edu</t>
  </si>
  <si>
    <t>10.3189/172756504781830105</t>
  </si>
  <si>
    <t>WOS:000227720900010</t>
  </si>
  <si>
    <t>Morris, EM; Mulvaney, R</t>
  </si>
  <si>
    <t>Recent variations in surface mass balance of the Antarctic Peninsula ice sheet</t>
  </si>
  <si>
    <t>CLIMATE-CHANGE; VARIABILITY; THICKNESS; POINT</t>
  </si>
  <si>
    <t>Over the period 1972-98 the height of the snow surface at eight Antarctic sites in Palmer Land and on Alexander Island has been measured with respect to fixed points on local nunataks. From these data an empirical relation between height changes over a given period and three key variables has been derived. These variables are (i) the local mean annual surface air temperature, (ii) a regional estimate of energy available for melt over the period (derived from the nearby Rothera air-temperature record) and (iii) a regional estimate of accumulation over the period (derived from the nearby Gomez Nunatak ice-core accumulation record). Using this relation, the contribution of the Antarctic Peninsula to sea-level rise for warming from climatic conditions (averaged over the last 30 years) is estimated to be -0.006 +/- 0.002 mm a(-1) K-1. If recent warm conditions persist, however, and meltwater can run off to the sea, the contribution to sea-level rise from ablation is calculated to be 0.07 +/- 0.02 mm a(-1) K-1.</t>
  </si>
  <si>
    <t>emmo@nerc-bas.ac.uk</t>
  </si>
  <si>
    <t>Morris, Elizabeth M/A-6081-2012; Mulvaney, Robert/K-3929-2012</t>
  </si>
  <si>
    <t>10.3189/172756504781830051</t>
  </si>
  <si>
    <t>WOS:000227720900011</t>
  </si>
  <si>
    <t>Hofstede, CM; van de Wal, RSW; Kaspers, KA; van den Broeke, MR; Karlöf, L; Winther, JG; Isaksson, E; Lappegard, G; Mulvaney, R; Oerter, H; Wilhelms, F</t>
  </si>
  <si>
    <t>Firn accumulation records for the past 1000 years on the basis of dielectric profiling of six cores from Dronning Maud Land, Antarctica</t>
  </si>
  <si>
    <t>RADIOCARBON AGE CALIBRATION; GREENLAND ICE CORE; 2 KYR; VOLCANISM; AMUNDSENISEN</t>
  </si>
  <si>
    <t>This paper presents an overview of firn accumulation in Dronning Maud Land (DML), Antarctica, over the past 1000 years. It is based on a chronology established with dated volcanogenic horizons detected by dielectric profiling of six medium-length firn cores. In 1998 the British Antarctic Survey retrieved a medium-length firn core from western DML. During the Nordic EPICA (European Project for Ice Coring in Antarctica) traverse of 2000/01, a 160 in long firn core was drilled in easternDML. Together with previously published data from four other medium-length ice cores from the area, these cores yield 50 possible volcanogenic horizons. All six firn cores cover a mutual time record until the 29th eruption. This overlapping period represents a period of approximately 1000 years, with mean values ranging between 43 and 71 mm w.e. The cores revealed no significant trend in snow accumulation. Running averages over 50 years, averaged over the six cores, indicate temporal variations of 5%. All cores display evidence of a minimum in the mean annual firn accumulation rate around AD 1500 and maxima around AD 1400 and 1800. The mean increase over the early 20th century was the strongest increase, but the absolute accumulation rate was not much higher than around AD 1400. In eastern DML a 13% increase is observed for the second half of the 20th century.</t>
  </si>
  <si>
    <t>Univ Utrecht, Inst Marine &amp; Atmospher Res, NL-3584 CC Utrecht, Netherlands; Polar Environm Ctr, Norwegian Polar Inst, N-9296 Tromso, Norway; Univ Oslo, Dept Geosci, N-0316 Oslo, Norway; British Antarctic Survey, NERC, Cambridge CB3 0ET, England; Alfred Wegener Inst Polar &amp; Marine Res, D-27568 Bremerhaven, Germany</t>
  </si>
  <si>
    <t>Utrecht University; Norwegian Polar Institute; University of Oslo; UK Research &amp; Innovation (UKRI); Natural Environment Research Council (NERC); NERC British Antarctic Survey; Helmholtz Association; Alfred Wegener Institute, Helmholtz Centre for Polar &amp; Marine Research</t>
  </si>
  <si>
    <t>Univ Utrecht, Inst Marine &amp; Atmospher Res, POB 80-005,Princetonplein 5, NL-3584 CC Utrecht, Netherlands.</t>
  </si>
  <si>
    <t>r.vandewal@phys.uu.nl</t>
  </si>
  <si>
    <t>Wilhelms, Frank/KEI-8426-2024; Van den Broeke, Michiel R./F-7867-2011; van de wal, roderik/D-1705-2011; Mulvaney, Robert/K-3929-2012</t>
  </si>
  <si>
    <t>Wilhelms, Frank/0000-0001-7688-3135; Van den Broeke, Michiel R./0000-0003-4662-7565; van de wal, roderik/0000-0003-2543-3892; Mulvaney, Robert/0000-0002-5372-8148</t>
  </si>
  <si>
    <t>10.3189/172756504781830169</t>
  </si>
  <si>
    <t>WOS:000227720900013</t>
  </si>
  <si>
    <t>Barnes, PRF; Wolff, EW</t>
  </si>
  <si>
    <t>Distribution of soluble impurities in cold glacial ice</t>
  </si>
  <si>
    <t>SCANNING-ELECTRON-MICROSCOPE; GRAIN-BOUNDARY RIDGE; POLAR ICE; ANTARCTIC ICE; SINTERED BONDS; GREENLAND ICE; SNOW; CRYSTALS; WATER; CORE</t>
  </si>
  <si>
    <t>Understanding the microstructure of ice underpins the interpretation of ice-core measurements and many ice-sheet properties. A detailed study of polar snow and ice using scanning electron microscope (SEM) and X-ray analysis revealed the microstructural distribution of soluble impurities. Sublimation under vacuum (etching) concentrated impurity from both the bulk and grain boundaries on to the specimen surfaces in detectable quantities. Sublimation in the cold room before examination (preetching) collected previously unobservable quantities of impurity at triple junctions. A heterogeneous distribution of impurities was observed. Chloride was frequently found to originate from the lattice, but not usually at triple junctions. Other impurities, particularly sodium chloride, were detected at grain boundaries and bubble surfaces. Sulphate was often found at triple junctions in specimens containing a high bulk concentration of the acid, frequently in conjunction with cations. This suggests the possibility that veins were only filled with significant amounts of impurity when the surrounding grain boundaries were saturated. The model of impurity arrangement inferred from the results reconciles differences between previous SEM studies; additionally it is consistent with and explains recent electrical conduction observations. The disconnected arrangement of impurity-filled grain boundaries and veins limits opportunities for significant post-depositional solute movement.</t>
  </si>
  <si>
    <t>Barnes, PRF (corresponding author), CSIRO Ind Phys, POB 218, Sydney, NSW 2070, Australia.</t>
  </si>
  <si>
    <t>piers.barnes@csiro.au</t>
  </si>
  <si>
    <t>Wolff, Eric W/D-7925-2014; Barnes, Piers/F-1558-2010</t>
  </si>
  <si>
    <t>INT GLACIOL SOC</t>
  </si>
  <si>
    <t>10.3189/172756504781829918</t>
  </si>
  <si>
    <t>939NR</t>
  </si>
  <si>
    <t>WOS:000230080200001</t>
  </si>
  <si>
    <t>Sugiyama, S; Gudmundsson, GH</t>
  </si>
  <si>
    <t>Short-term variations in glacier flow controlled by subglacial water pressure at Lauteraargletscher, Bernese Alps, Switzerland</t>
  </si>
  <si>
    <t>SURFACE VELOCITY; DRAINAGE SYSTEM; UNTERAARGLETSCHER; MOTION; STORGLACIAREN; DEFORMATION; SWEDEN; STRAIN; MECHANISM; DAROLLA</t>
  </si>
  <si>
    <t>Short-term variations in horizontal and vertical surface motion were studied with high temporal resolution during the ablation season in Lauteraargletscher, Bernese Alps, Switzerland. Horizontal surface flow speed oscillated diurnally, showing a correlation with the water level in a borehole. Flow speed increased as a function of the water level, with an asymptote at the ice overburden level. This observation implied that the flow variations were principally controlled by the local water pressure which enhanced basal motions. Detailed examination of the diurnal variations, however, showed that the speed was larger when the pressure was increasing than when it was decreasing. Greater speed with increasing pressure was interpreted by subglacial watercavity opening and/or longitudinal stress coupling with the upper reaches of the glacier. Upward surface movements were observed when the glacier flow speed increased. Simultaneous measurement of internal vertical strain in a borehole showed that the uplift had two different sources: vertical straining of ice and volume increase of subglacial water cavities. The vertical surface movement was largely affected by the vertical strain, and the uplift events could not be simply attributed to cavity opening.</t>
  </si>
  <si>
    <t>Hokkaido Univ, Inst Low Temp Sci, Sapporo, Hokkaido 0600819, Japan; ETH Zentrum, Versuchsanstalt Wasserbau Hydrol &amp; Glaziol, CH-8092 Zurich, Switzerland; British Antarctic Survey, NERC, Cambridge CB3 0ET, England</t>
  </si>
  <si>
    <t>Hokkaido University; Swiss Federal Institutes of Technology Domain; ETH Zurich; UK Research &amp; Innovation (UKRI); Natural Environment Research Council (NERC); NERC British Antarctic Survey</t>
  </si>
  <si>
    <t>Sugiyama, S (corresponding author), Hokkaido Univ, Inst Low Temp Sci, Sapporo, Hokkaido 0600819, Japan.</t>
  </si>
  <si>
    <t>sugiyama@vaw.baug.ethz.ch</t>
  </si>
  <si>
    <t>Sugiyama, Shin/C-2511-2012; Gudmundsson, Gudmundur Hilmar/AAU-5987-2020; Gudmundsson, Gudmundur Hilmar/F-6499-2012</t>
  </si>
  <si>
    <t>Gudmundsson, Gudmundur Hilmar/0000-0003-4236-5369; Gudmundsson, Gudmundur Hilmar/0000-0003-4236-5369</t>
  </si>
  <si>
    <t>Natural Environment Research Council [bas010011] Funding Source: researchfish; NERC [bas010011] Funding Source: UKRI</t>
  </si>
  <si>
    <t>10.3189/172756504781829846</t>
  </si>
  <si>
    <t>WOS:000230080200005</t>
  </si>
  <si>
    <t>Matsuoka, K; Uratsuka, S; Fujita, S; Nishio, F</t>
  </si>
  <si>
    <t>Ice-flow-induced scattering zone within the Antarctic ice sheet revealed by high-frequency airborne radar</t>
  </si>
  <si>
    <t>EAST ANTARCTICA; RADIO; FABRICS; CORES</t>
  </si>
  <si>
    <t>To better understand how internal radar echoes depend on ice-flow conditions and radar polarization, we surveyed two basins in East Antarctica using 179 MHz airborne radar. We compared radar echoes from three ice-flow conditions: parallel sheet flow in the main stream of a basin, convergent flow towards an ice stream, and longitudinal compression by nunataks. We detected a distinct zone of high radar scattering several hundred meters thick at middle depths in the latter two regions. This high-scattering zone was detected only when the radar polarization plane was parallel to the compression axis in ice. Such a high-scattering zone was not found in the parallel-flow region, regardless of the polarization. Using a recently developed theory of radar scattering in ice, we interpret the high-scattering zone as being caused by crystal-orientation-fabric alternations among adjacent ice layers due to difference in horizontal strain components. We argue that the spatial variation of the high-scattering zone is crucial for understanding past and present flow features.</t>
  </si>
  <si>
    <t>Univ Washington, Dept Earth &amp; Space Sci, Seattle, WA 98195 USA; Natl Inst Informat &amp; Commun Technol, Tokyo 1848795, Japan; Natl Inst Polar Res, Itabashi Ku, Tokyo 1738515, Japan; Chiba Univ, Ctr Environm Remote Sensing, Inage Ku, Chiba 2638522, Japan</t>
  </si>
  <si>
    <t>University of Washington; University of Washington Seattle; National Institute of Information &amp; Communications Technology (NICT) - Japan; Research Organization of Information &amp; Systems (ROIS); National Institute of Polar Research (NIPR) - Japan; Chiba University</t>
  </si>
  <si>
    <t>Matsuoka, K (corresponding author), Univ Washington, Dept Earth &amp; Space Sci, Box 351310, Seattle, WA 98195 USA.</t>
  </si>
  <si>
    <t>matsuoka@ess.washington.edu</t>
  </si>
  <si>
    <t>Fujita, Shuji/A-7884-2016; Matsuoka, Kenichi/B-7298-2017</t>
  </si>
  <si>
    <t>Matsuoka, Kenichi/0000-0002-3587-3405</t>
  </si>
  <si>
    <t>10.3189/172756504781829891</t>
  </si>
  <si>
    <t>WOS:000230080200009</t>
  </si>
  <si>
    <t>Vaughan, DG; Anderson, PS; King, JC; Mann, GW; Mobbs, SD; Ladkin, RS</t>
  </si>
  <si>
    <t>Imaging of firn isochrones across an Antarctic ice rise and implications for patterns of snow accumulation rate</t>
  </si>
  <si>
    <t>GROUND-PENETRATING RADAR; DRONNING MAUD LAND; VARIABILITY; REFLECTIONS; SHEET</t>
  </si>
  <si>
    <t>It has been an underlying assumption in many studies that near-surface layers imaged by ground-penetrating radar (GPR) can be interpreted as depositional markers or isochrones. It has been shown that GPR layers can be approximately reproduced from the measured electrical properties of ice, but these material layers are generally narrower and more closely spaced than can be resolved by typical GPR systems operating in the range 50-400 MHz. Thus GPR layers should be interpreted as interference patterns produced from closely spaced and potentially discontinuous material layers, and should not be assumed to be interpretable as precise markers of isochrones. We present 100 MHz GPR data from Lyddan Ice Rise, Antarctica, in which near-surface (&lt; 50 m deep) layers are clearly imaged. The growth of the undulations in these layers with depth is approximately linear, implying that, rather than resulting from a pattern of vertical strain rate, they do correspond to some pattern of snowfall variation. Furthermore, comparison of the GPR layers with snow-stake measurements suggests that around 80% of the rms variability in mean annual accumulation is present in the GPR layers. The observations suggest that, at least in this case, the GPR layers do approximate isochrones, and that patterns of snow accumulation over Lyddan Ice Rise are dominated by extremely persistent spatial variations with only a small residual spatial variability. If this condition is shown to be widely applicable it may reduce the period required for measurements of surface elevation change to be taken as significant indications of mass imbalance.</t>
  </si>
  <si>
    <t>British Antarctic Survey, NERC, Cambridge CB3 0ET, England; Univ Leeds, Sch Environm, Leeds LS2 9JT, W Yorkshire, England</t>
  </si>
  <si>
    <t>UK Research &amp; Innovation (UKRI); Natural Environment Research Council (NERC); NERC British Antarctic Survey; University of Leeds</t>
  </si>
  <si>
    <t>d.vaughan@bas.ac.uk</t>
  </si>
  <si>
    <t>Vaughan, David/C-8348-2011; Mann, Graham/L-9529-2017</t>
  </si>
  <si>
    <t>Vaughan, David/0000-0002-9065-0570; Mann, Graham/0000-0003-1746-2837</t>
  </si>
  <si>
    <t>10.3189/172756504781829882</t>
  </si>
  <si>
    <t>WOS:000230080200012</t>
  </si>
  <si>
    <t>Hulbe, CL; Fahnestock, MA</t>
  </si>
  <si>
    <t>West Antarctic ice-stream discharge variability: mechanism, controls and pattern of grounding-line retreat</t>
  </si>
  <si>
    <t>MASS-BALANCE; SIPLE COAST; SHEET; FLOW; SHELF; MARGIN; MODEL; SHEAR</t>
  </si>
  <si>
    <t>West Antarctic ice streams show pronounced flow variability in their downstream reaches, with changes stranding formerly fast-flowing ice and redirecting discharge. A simple model, in which the temperature gradient in basal ice provides control of fast sliding in the downstream reach, can explain this behavior. Downstream thinning steepens the temperature gradient near the bed, increasing upward heat flow and the tendency toward basal freezing. The basal temperature gradient is steepest and the tendency toward basal freezing the strongest in ice that has experienced the most rapid downstream thinning, that is, the fastest-flowing ice. The most 'successful' rapid outflows are regions where basal water from elsewhere is likely to be consumed. Freezing here leads to episodic slow-downs and redirections of flow, the history of which appears in satellite imagery as ice rises, distorted streaklines, and margin jumps created when discharge migrates to areas with more favorable basal conditions. One compelling consequence of this process is that it makes catastrophic collapse less likely; if discharge currents are forced to slow when they become too fast (thin), then there may be an upper bound on the retreat rate and discharge flux of the West Antarctic ice sheet (WAIS) ice-stream system under the present climate.</t>
  </si>
  <si>
    <t>Portland State Univ, Dept Geol, Portland, OR 97207 USA; Univ New Hampshire, Inst Study Earth Oceans &amp; Space, Durham, NH 03824 USA</t>
  </si>
  <si>
    <t>Portland State University; University System Of New Hampshire; University of New Hampshire</t>
  </si>
  <si>
    <t>Hulbe, CL (corresponding author), Portland State Univ, Dept Geol, POB 751, Portland, OR 97207 USA.</t>
  </si>
  <si>
    <t>chulbe@pdx.edu</t>
  </si>
  <si>
    <t>Fahnestock, Mark A/N-2678-2013</t>
  </si>
  <si>
    <t>Hulbe, Christina/0000-0003-4765-7037</t>
  </si>
  <si>
    <t>10.3189/172756504781829738</t>
  </si>
  <si>
    <t>963YI</t>
  </si>
  <si>
    <t>WOS:000231842100001</t>
  </si>
  <si>
    <t>Pattyn, F; De Smedt, B; Souchez, R</t>
  </si>
  <si>
    <t>Influence of subglacial Vostok lake on the regional ice dynamics of the Antarctic ice sheet: a model study</t>
  </si>
  <si>
    <t>WATER; BENEATH; FLOW</t>
  </si>
  <si>
    <t>We applied a newly developed three-dimensional, time-dependent, thermomechanical ice-sheet model including higher-order stress gradients, to simulate the ice flow across subglacial Vostok lake, East Antarctica. Simulations of both 'lake' and 'no lake' conditions (by treating the ice/lake interface as a stress-free surface, similar to an ice shelf) demonstrate the effects of the subglacial lake, such as pronounced surface flattening and ice-flow turning, on the overall ice dynamics in the vicinity, although subglacial lake dynamics are not treated explicitly. When buoyancy forces and hydrostatic equilibrium of the ice above the lake are taken into account, the along-lake surface slope is preserved and the ice-flow pattern is in accord with sparse observations. Model experiments point to a local ice speed-up in the northern part of the lake, which can be associated with the onset of an enhanced ice-flow feature, more precisely the onset of the Totten Glacier catchment.</t>
  </si>
  <si>
    <t>Vrije Univ Brussels, Dept Geog, WE DGGF, B-1050 Brussels, Belgium; Free Univ Brussels, Dept Sci Terre &amp; Environm, B-1050 Brussels, Belgium</t>
  </si>
  <si>
    <t>Vrije Universiteit Brussel; Universite Libre de Bruxelles</t>
  </si>
  <si>
    <t>Vrije Univ Brussels, Dept Geog, WE DGGF, Pleinlaan 2, B-1050 Brussels, Belgium.</t>
  </si>
  <si>
    <t>fpattyn@vub.ac.be</t>
  </si>
  <si>
    <t>Pattyn, Frank/AAA-9640-2019</t>
  </si>
  <si>
    <t>Pattyn, Frank/0000-0003-4805-5636</t>
  </si>
  <si>
    <t>10.3189/172756504781829765</t>
  </si>
  <si>
    <t>WOS:000231842100011</t>
  </si>
  <si>
    <t>Belanger, DO</t>
  </si>
  <si>
    <t>The international geophysical year in Antarctica: Uncommon collaborations, unprecedented results</t>
  </si>
  <si>
    <t>JOURNAL OF GOVERNMENT INFORMATION</t>
  </si>
  <si>
    <t>Antarctica; International Geophysical Year; earth</t>
  </si>
  <si>
    <t>When 1 July 1957 dawned in the dark of the south polar night, Americans at seven scientific stations scattered across Antarctica officially began systematic, synoptic observations of the air above and ice below. Joining scientists from 11 other countries on the polar continent, they were part of the International Geophysical Year, an 18-month worldwide effort to understand the earth and its environment. The Navy and other military services provided the transportation, construction, and maintenance to make life and work possible on the ice. The scientific success and value of the IGY inspired a mechanism-the Antarctic Treaty of 1959-for a peaceful future focused on the cooperative pursuit of scientific knowledge. While imperfect and fragile, the treaty is still in force and, with continuing military and civilian support, scientific research in Antarctica prospers. All this was achieved in a remarkably short time, by disparate, thinly acquainted, mutually wary cultures-military, scientific, and diplomatic. All the more astonishing is that it happened within the tense context of the Cold War, as statesmen and warriors were wise enough to allow apolitical scientists to lead where they could not. (C) 2004 Elsevier Inc. All rights reserved.</t>
  </si>
  <si>
    <t>dobelanger@aol.com</t>
  </si>
  <si>
    <t>1352-0237</t>
  </si>
  <si>
    <t>J GOV INFORM</t>
  </si>
  <si>
    <t>J. Gov. Inf.</t>
  </si>
  <si>
    <t>10.1016/j.jgi.2004.09.007</t>
  </si>
  <si>
    <t>Information Science &amp; Library Science</t>
  </si>
  <si>
    <t>Social Science Citation Index (SSCI)</t>
  </si>
  <si>
    <t>877HN</t>
  </si>
  <si>
    <t>WOS:000225558700007</t>
  </si>
  <si>
    <t>Dodds, K</t>
  </si>
  <si>
    <t>The last great quest: Captain's Scott's Antarctic sacrifice</t>
  </si>
  <si>
    <t>JOURNAL OF HISTORICAL GEOGRAPHY</t>
  </si>
  <si>
    <t>Univ London Royal Holloway, Dept Geog, London, England</t>
  </si>
  <si>
    <t>University of London; Royal Holloway University London</t>
  </si>
  <si>
    <t>Dodds, K (corresponding author), Univ London Royal Holloway, Dept Geog, London, England.</t>
  </si>
  <si>
    <t>0305-7488</t>
  </si>
  <si>
    <t>J HIST GEOGR</t>
  </si>
  <si>
    <t>J. Hist. Geogr.</t>
  </si>
  <si>
    <t>10.1016/j.jhg.2003.11.012</t>
  </si>
  <si>
    <t>Geography; History Of Social Sciences</t>
  </si>
  <si>
    <t>Geography; Social Sciences - Other Topics</t>
  </si>
  <si>
    <t>816YU</t>
  </si>
  <si>
    <t>WOS:000221146000022</t>
  </si>
  <si>
    <t>Xia, CS; Qiao, FL; Zhang, QH; Yuan, YL</t>
  </si>
  <si>
    <t>Xia Chang-shui; Qiao Fang-li; Zhang Qing-hua; Yuan Ye-li</t>
  </si>
  <si>
    <t>NUMERICAL MODELLING OF THE QUASI-GLOBAL OCEAN CIRCULATION BASED ON POM</t>
  </si>
  <si>
    <t>JOURNAL OF HYDRODYNAMICS</t>
  </si>
  <si>
    <t>ocean circulation; numerical model; Princeton Ocean Model (POM)</t>
  </si>
  <si>
    <t>WIND STRESS-FIELDS; KUROSHIO; WATER</t>
  </si>
  <si>
    <t>A free surface quasi-global ocean circulation model, Princeton Ocean Model (POM), was adopted to simulate the climatological circulation. The horizontal resolution of the model was 1/2 degrees X 1/2 degrees with 16 vertical sigma layers. The initial temperature and salinity fields of the model were interpolated from the Levitus data, and the COADS(Comprehensive Ocean-Atmosphere Data Set) monthly mean SST and wind fields were used as the surface forcing. The integral time length is 6a. The main general circulation components such as the equatorial current, the equatorial undercurrent, the south and north equatorial currents, the Antarctic Circumpolar Current (ACC), the Kuroshio and the Gulf Stream were well reconstructed. The volume transports of PN section and ACC agree well with the estimations on field survey. Up to now there is no global or quasi-global circulation model results using POM in literature. Our results demonstrate that POM has sound ability to simulate the coastal circulation as well as the general ocean circulation. And this result can provide open boundary conditions for fine resolution regional ocean circulation models.</t>
  </si>
  <si>
    <t>[Xia Chang-shui; Qiao Fang-li; Zhang Qing-hua; Yuan Ye-li] State Ocean Adm, Key Lab Marine Sci &amp; Numer Modeling, Inst Oceanog 1, Qingdao 266061, Peoples R China; [Xia Chang-shui] Ocean Univ China, Marine Environm Coll, Qingdao 266003, Peoples R China</t>
  </si>
  <si>
    <t>First Institute of Oceanography, Ministry of Natural Resources; Ocean University of China</t>
  </si>
  <si>
    <t>Xia, CS (corresponding author), State Ocean Adm, Key Lab Marine Sci &amp; Numer Modeling, Inst Oceanog 1, Qingdao 266061, Peoples R China.</t>
  </si>
  <si>
    <t>xiachsh@fio.org.cn</t>
  </si>
  <si>
    <t>Xia, Changshui/AAA-7255-2021; Zhang, Qinghua/G-3980-2019</t>
  </si>
  <si>
    <t>Xia, Changshui/0000-0001-6941-0962;</t>
  </si>
  <si>
    <t>Major State Basic Research Program of China [G1999043809]</t>
  </si>
  <si>
    <t>Major State Basic Research Program of China(National Basic Research Program of China)</t>
  </si>
  <si>
    <t>Project supported by the Major State Basic Research Program of China(Grant No: G1999043809).</t>
  </si>
  <si>
    <t>1001-6058</t>
  </si>
  <si>
    <t>1878-0342</t>
  </si>
  <si>
    <t>J HYDRODYN</t>
  </si>
  <si>
    <t>J. Hydrodyn.</t>
  </si>
  <si>
    <t>Mechanics</t>
  </si>
  <si>
    <t>V22FM</t>
  </si>
  <si>
    <t>WOS:000208261100005</t>
  </si>
  <si>
    <t>Liu, N; Zhang, QH; Chen, HX</t>
  </si>
  <si>
    <t>Liu Na; Zhang Qing-hua; Chen Hong-xia</t>
  </si>
  <si>
    <t>CORRELATION BETWEEN ASO AND AAO</t>
  </si>
  <si>
    <t>ASO; AAO; EOF; power spectrum analysis; correlation analysis</t>
  </si>
  <si>
    <t>Using a 34 years database consisting of sea level pressure and sea ice concentration, the relationship between Antarctic Oscillation (AAO) and Antarctic Sea-ice Oscillation (ASO) was investigated. Firstly, Empirical Orthogonal Function (EOF) analysis depicts the spatial variability of AAO and ASO and Antarctic Sea-ice Oscillation Index (ASOI) was defined for the first time. Secondly, power spectrum and head-lag correlation analysis show that ASO and AAO have the same periods of quasi-three years, quasi-one year and quasi-half a year. Corresponding to AAO, ASO has an evident anti-oscillation after one and half a year.</t>
  </si>
  <si>
    <t>[Liu Na] Ocean Univ China, Coll Phys &amp; Environm Oceanog, Qingdao 266003, Peoples R China; [Liu Na; Zhang Qing-hua; Chen Hong-xia] State Ocean Adm, Key Lab Marine Sci &amp; Numer Modeling, Inst Oceanog 1, Qingdao 266061, Peoples R China</t>
  </si>
  <si>
    <t>Liu, N (corresponding author), Ocean Univ China, Coll Phys &amp; Environm Oceanog, Qingdao 266003, Peoples R China.</t>
  </si>
  <si>
    <t>liun@fio.org.cn</t>
  </si>
  <si>
    <t>Zhang, Qinghua/G-3980-2019</t>
  </si>
  <si>
    <t>National Natural Science Foundation of China [40231013]</t>
  </si>
  <si>
    <t>National Natural Science Foundation of China(National Natural Science Foundation of China (NSFC))</t>
  </si>
  <si>
    <t>Project supported by the National Natural Science Foundation of China(Grant No: 40231013).</t>
  </si>
  <si>
    <t>WOS:000208261100006</t>
  </si>
  <si>
    <t>Acha, EM; Mianzan, HW; Guerrero, RA; Favero, M; Bava, J</t>
  </si>
  <si>
    <t>Marine fronts at the continental shelves of austral South America Physical and ecological processes</t>
  </si>
  <si>
    <t>marine ecology; physical oceanography; fronts; Neritic Province; South America; Southwestern Atlantic; Southeastern Pacific; review; 20-57 degrees Lat. S; 40-76 degrees Long W</t>
  </si>
  <si>
    <t>DE-LA-PLATA; FISH REPRODUCTIVE HABITATS; ANCHOVY ENGRAULIS-ANCHOITA; ANTARCTIC CIRCUMPOLAR WAVE; HAKE MERLUCCIUS-HUBBSI; FEEDING BIOLOGY; GELATINOUS-PLANKTON; UPWELLING SYSTEM; ARGENTINE SEA; BUENOS-AIRES</t>
  </si>
  <si>
    <t>Neritic fronts are very abundant in austral South America, covering several scales of space and time. However, this region is poorly studied from a systemic point of view. Our main goal is to develop a holistic view of physical and ecological patterns and processes at austral South America, regarding frontal arrangements. Satellite information (sea surface temperature and chlorophyll concentration), and historical hydrographic data were employed to show fronts. We compiled all existing evidence (physical and biological) about fronts to identify regions defined by similar types of coastal fronts and to characterize them. Fronts in austral South America can be arranged in six zones according to their location, main forcing, key physical variables, seasonality, and enrichment mechanisms. Four zones, the Atlantic upwelling zone; the temperate estuarine zone; the Patagonian tidal zone and the Argentine shelf-break zone, occupy most of the Atlantic side. The Chile-Peru upwelling zone, on the Pacific, is the largest and best-known region. The Patagonian cold estuarine zone encompasses the tip of South America, connecting the Pacific and Atlantic oceans, and remains poorly studied. When observed at a continental scale, the Pacific coast dominated by two large frontal zones appears simplest than the Atlantic coast in terms of frontal richness. The extension of the continental shelf in the Atlantic coast allows for the development of a great diversity of mesoscale fronts. Though frontal zones we defined are extensive areas of the continental shelves, fronts inside the zones are comparatively small areas. Even so, they play a paramount role in ecological processes, allowing for high biological production; offering feeding and/or reproductive habitats for fishes, squids, and birds; acting as retention areas for larvae of benthic species; and promoting establishment of benthic invertebrates that benefit from the organic production in the frontal area. (C) 2003 Elsevier B.V. All rights reserved.</t>
  </si>
  <si>
    <t>INIDEP, RA-7600 Mar Del Plata, Argentina; Univ Nacl Mar Del Plata, Fac Cs Exactas &amp; Nat, RA-7600 Mar Del Plata, Argentina; Consejo Nacl Invest Cient &amp; Tecn, Consejo Nacl Invest Cient &amp; Tecn, RA-1033 Buenos Aires, DF, Argentina; Consejo Nacl Invest Cient &amp; Tecn, Inst Astron &amp; Fis Espacio, RA-1428 Buenos Aires, DF, Argentina</t>
  </si>
  <si>
    <t>National Fisheries Research &amp; Development Institute (INIDEP); National University of Mar del Plata; Consejo Nacional de Investigaciones Cientificas y Tecnicas (CONICET); Consejo Nacional de Investigaciones Cientificas y Tecnicas (CONICET); Instituto de Astronomia y Fisica del Espacio (IAFE)</t>
  </si>
  <si>
    <t>INIDEP, Paseo 5,Ocampo 1, RA-7600 Mar Del Plata, Argentina.</t>
  </si>
  <si>
    <t>macha@inidep.edu.ar</t>
  </si>
  <si>
    <t>Favero, Marco/AGF-7428-2022</t>
  </si>
  <si>
    <t>Favero, Marco/0000-0003-1293-3417</t>
  </si>
  <si>
    <t>1879-1573</t>
  </si>
  <si>
    <t>10.1016/j.jmarsys.2003.09.005</t>
  </si>
  <si>
    <t>770EM</t>
  </si>
  <si>
    <t>WOS:000188710300005</t>
  </si>
  <si>
    <t>Keskin, SS; Ölmez, I</t>
  </si>
  <si>
    <t>Tracking the El Nino events from Antarctic ice core records</t>
  </si>
  <si>
    <t>JOURNAL OF RADIOANALYTICAL AND NUCLEAR CHEMISTRY</t>
  </si>
  <si>
    <t>SOUTHERN-OSCILLATION; CIRCUMPOLAR WAVE; OCEAN; CLIMATE; SST</t>
  </si>
  <si>
    <t>Sodium and chlorine measurements were made by instrumental neutron activation analysis (INAA) on stratigraphically dated ice core samples from Byrd Station, Antarctica, for the last three centuries. The time period between 1969 and 1989 showed an enhanced impact on the Antarctic ice sheets from oceans in the form of marine aerosols. A disturbed ocean atmosphere interface due to El Nino Southern Oscillation (ENSO) events seems to be a candidate for this observation in Antarctica.</t>
  </si>
  <si>
    <t>MIT, Nucl Reactor Lab, Cambridge, MA 02139 USA</t>
  </si>
  <si>
    <t>Marmara Univ, Dept Environm Engn, Istanbul 81040, Turkey.</t>
  </si>
  <si>
    <t>sinankeskin@marmara.edu.tr; i.olmez@superonline.com</t>
  </si>
  <si>
    <t>Keskin, Sinan/IVH-8705-2023</t>
  </si>
  <si>
    <t>Keskin, Sinan/0000-0002-3379-2265</t>
  </si>
  <si>
    <t>0236-5731</t>
  </si>
  <si>
    <t>1588-2780</t>
  </si>
  <si>
    <t>J RADIOANAL NUCL CH</t>
  </si>
  <si>
    <t>J. Radioanal. Nucl. Chem.</t>
  </si>
  <si>
    <t>10.1023/B:JRNC.0000015829.59314.4e</t>
  </si>
  <si>
    <t>Chemistry, Analytical; Chemistry, Inorganic &amp; Nuclear; Nuclear Science &amp; Technology</t>
  </si>
  <si>
    <t>Chemistry; Nuclear Science &amp; Technology</t>
  </si>
  <si>
    <t>773LF</t>
  </si>
  <si>
    <t>WOS:000188924700032</t>
  </si>
  <si>
    <t>Bhadra, S; Gupta, S; Banerjee, A</t>
  </si>
  <si>
    <t>Structural evolution across the Eastern Ghats Mobile Belt-Bastar craton boundary, India: hot over cold thrusting in an ancient collision zone</t>
  </si>
  <si>
    <t>JOURNAL OF STRUCTURAL GEOLOGY</t>
  </si>
  <si>
    <t>craton-mobile belt boundary; ancient supercontinent; thermal profile; cold craton</t>
  </si>
  <si>
    <t>PROGRESSIVE DEFORMATION; INVERTED METAMORPHISM; GRANULITE BELT; SHEATH FOLDS; RB-SR; SM-ND; U-PB; HISTORY; CRUST; CONSTRAINTS</t>
  </si>
  <si>
    <t>Along the western margin of the Eastern Ghats Mobile Belt (EGMB), ultrahigh-temperature granulites are thrust westward over hornblende granites and sedimentary rocks of the Bastar craton. Multiply deformed migmatitic gneisses, and porphyritic charnockite of the EGMB unit preserve thrust-related shear fabrics (SW). In the cratonic foreland, undeformed granites show a progressive decrease in grain-size and increase in penetrative foliation to the east, evolving into orthogneiss near the mylonitized contact zone with charnockite. Foreland fabrics with a consistent top-to-the-west shear sense are conformable with S-3M in charnockite and correlate with S-3B in polydeformed orthogneisses of cratonic windows. S-3B in the windows parallels S3M in overlying EGMB migmatitic gneisses. While SW accompanied granulite metamorphism in the EGMB, S-3B temperature estimates vary from T &gt; 700 degreesC in the windows to T &lt; 550 degreesC in the west. Decreasing temperature and later fabric formation in the west are explained by an evolving thermal profile in the cold craton, which is caused by thrusting against hot lower crustal EGMB rocks. Based on lithologic, structural and metamorphic variations across the contact, and resemblances between the EGMB and Rayner Complex, the craton-mobile belt boundary is considered a result of Indo-Antarctic collision, leading to the formation of an ancient supercontinent. (C) 2003 Elsevier Ltd. All rights reserved.</t>
  </si>
  <si>
    <t>Indian Inst Technol, Dept Geol &amp; Geophys, Kharagpur 721302, W Bengal, India</t>
  </si>
  <si>
    <t>Indian Institute of Technology System (IIT System); Indian Institute of Technology (IIT) - Kharagpur</t>
  </si>
  <si>
    <t>Indian Inst Technol, Dept Geol &amp; Geophys, Kharagpur 721302, W Bengal, India.</t>
  </si>
  <si>
    <t>saibl@gg.iitkgp.ernet.in</t>
  </si>
  <si>
    <t>bhadra, subhadip/0000-0002-2834-0432; Ghosh Banerjee, Manua/0000-0001-8239-0775</t>
  </si>
  <si>
    <t>0191-8141</t>
  </si>
  <si>
    <t>J STRUCT GEOL</t>
  </si>
  <si>
    <t>J. Struct. Geol.</t>
  </si>
  <si>
    <t>10.1016/S0191-8141(03)00112-3</t>
  </si>
  <si>
    <t>809NX</t>
  </si>
  <si>
    <t>WOS:000220644500004</t>
  </si>
  <si>
    <t>Gatta, RS; Chela-Flores, J</t>
  </si>
  <si>
    <t>Seckbach, J; ChelaFlores, J; Owen, T; Raulin, F</t>
  </si>
  <si>
    <t>Application of molecular biology techniques to astrobiology</t>
  </si>
  <si>
    <t>LIFE IN THE UNIVERSE: FROM THE MILLER EXPERIMENT TO THE SEARCH FOR LIFE ON OTHER WORLDS</t>
  </si>
  <si>
    <t>Cellular Origin Life in Extreme Habitats and Astrobiology</t>
  </si>
  <si>
    <t>7th Trieste Conference on Chemical Evolution and the Origin of Life</t>
  </si>
  <si>
    <t>SEP 15-19, 2003</t>
  </si>
  <si>
    <t>Trieste, ITALY</t>
  </si>
  <si>
    <t>GREEN FLUORESCENT PROTEIN; ION-CHANNEL EXPRESSION; CONVERGENT EVOLUTION; RNA GENES</t>
  </si>
  <si>
    <t>The opportunity for direct examination of the Europan surface and sub-surface calls for a systematic and deductive approach to experimental design. To avoid the limitations of our inherent Earth-centric definition of life (Nealson et al., 2002), we would be forced to examine a wide range of potential bio-signatures to guide more specific biological experiments (ChelaFlores, 2003). It is also important to look for recurring features that are important from the evolutionary history of our own biosphere (Zakon, 2003). Of the many candidate molecules, the structurally heterologous superfamily of voltage-gated cation channels is an evolutionary sensitive group of molecular structures, the single varieties of which can be easily distinguished. Implementation of the analytical aspects of this experiment would require remote control of miniaturized robotic systems. These mechanisms are under constant evolution since their uses are strongly tied to commercial, scientific and military interests. One paradigm for feasibility studies could come from data inferring the reprocessing of ice covering a Europan ocean. Reprocessing could be inducing life forms extant in the liquid water subsurface towards the ice covering, as it has already been demonstrated at the frozen surfaces of Antarctic lakes (Bhattacherjee and Chela-Flores, 2004), and as it has been suggested by geophysical analysis of the Galileo images of the icy surface of Europa (Greenberg et al., 2002). The proposed series of experiments can be carried out in situ either within a submersible in the ocean beneath the ice layer (carried and launched from a cryobot), or even on the surface ice itself. Results from a preliminary examination of the environment would be used to determine the conditions necessary for sampling and pre-processing of any material of possible biological origin. Many techniques are currently available for identifying targets according to their molecular structure and their chemical-physical characteristics: novel sampling and isolation methods, specific antibodies or diabodies engineered as molecular probes, micro-arrays based on site-specific immobilization of complementary molecules, microscopy and micro-sensors for visual ization/digital sampling of positive results. New challenges will arise from the novel settings and will have to be addressed, singly, well in advance of any preliminary exercises. Moreover, a myriad of practical applications could be developed by addressing pertinent, emerging questions relating to: stability of sensitive organic material over a large period of time, and extreme conditions.</t>
  </si>
  <si>
    <t>Int Ctr Genet Engn &amp; Biotechnol, New Delhi, India</t>
  </si>
  <si>
    <t>Department of Biotechnology (DBT) India; International Center for Genetic Engineering &amp; Biotechnology (ICGEB); International Center for Genetic Engineering &amp; Biotechnology (ICGEB), New Delhi</t>
  </si>
  <si>
    <t>Gatta, RS (corresponding author), Int Ctr Genet Engn &amp; Biotechnol, New Delhi, India.</t>
  </si>
  <si>
    <t>1871-661X</t>
  </si>
  <si>
    <t>1-4020-2371-5</t>
  </si>
  <si>
    <t>CELL ORIG LIFE EXTRE</t>
  </si>
  <si>
    <t>Cell. Orig. Life Extrem. Habitats Astrobiol.</t>
  </si>
  <si>
    <t>Biology; Geosciences, Multidisciplinary</t>
  </si>
  <si>
    <t>Life Sciences &amp; Biomedicine - Other Topics; Geology</t>
  </si>
  <si>
    <t>BCS08</t>
  </si>
  <si>
    <t>WOS:000230988300057</t>
  </si>
  <si>
    <t>Hiriart-Baer, VP; Smith, REH</t>
  </si>
  <si>
    <t>Models for ultraviolet radiation-dependent photoinhibition of Lake Erie phytoplankton</t>
  </si>
  <si>
    <t>LIMNOLOGY AND OCEANOGRAPHY</t>
  </si>
  <si>
    <t>B RADIATION; ANTARCTIC PHYTOPLANKTON; OZONE DEPLETION; UV-RADIATION; PHOTOSYNTHESIS; INHIBITION; SENSITIVITY; EXPOSURE; ASSEMBLAGES; RESPONSES</t>
  </si>
  <si>
    <t>We calibrated a model for ultraviolet radiation (UVR) and photosynthetically active radiation-dependent photoinhibition, with explicit damage and recovery processes (the R model), against observations of photosynthesis by Lake Erie phytoplankton exposed to natural sunlight in the summer of 1998. The model explained 74%-96% of the variation in photosynthetic rates and indicated active recovery processes at 4 of the 5 experimental stations. UVR-dependent photoinhibition kinetics were not as well explained by two simpler models that assumed either a lack of recovery processes or an instantaneous equilibrium between damage and recovery. The 1998-calibrated R model also provided consistently significant predictions of photoinhibition in 10 experiments done the previous year, albeit with a reduced goodness-of-fit, whereas simpler models did not. Biological weighting functions (BWFs) derived for UVR effects in 1998 were similar in shape throughout the UVR part of the spectrum, with an especially steep decrease from 300 to 320 nm, compared with BWFs published for other phytoplankton communities and/or species. The R model predicted photoinhibitory losses of primary production, integrated through the photic zone, that were intermediate between the two simpler models and showed that Lake Erie phytoplankton varied in both their spectral sensitivity (as expressed by the BWF) and recovery rates.</t>
  </si>
  <si>
    <t>Univ Waterloo, Dept Biol, Waterloo, ON N2L 3G1, Canada</t>
  </si>
  <si>
    <t>University of Waterloo</t>
  </si>
  <si>
    <t>Univ Waterloo, Dept Biol, Waterloo, ON N2L 3G1, Canada.</t>
  </si>
  <si>
    <t>vphiriar@sciborg.uwaterloo.ca</t>
  </si>
  <si>
    <t>Smith, Ralph E.H./F-3655-2010</t>
  </si>
  <si>
    <t>0024-3590</t>
  </si>
  <si>
    <t>1939-5590</t>
  </si>
  <si>
    <t>LIMNOL OCEANOGR</t>
  </si>
  <si>
    <t>Limnol. Oceanogr.</t>
  </si>
  <si>
    <t>10.4319/lo.2004.49.1.0202</t>
  </si>
  <si>
    <t>766MX</t>
  </si>
  <si>
    <t>WOS:000188381100022</t>
  </si>
  <si>
    <t>Cresswell, GR; Griffin, DA</t>
  </si>
  <si>
    <t>The Leeuwin Current, eddies and sub-Antarctic waters off south-western Australia</t>
  </si>
  <si>
    <t>MARINE AND FRESHWATER RESEARCH</t>
  </si>
  <si>
    <t>ocean currents; salinity; subsurface temperature; TOPEX/Poseidon</t>
  </si>
  <si>
    <t>OCEAN; COAST</t>
  </si>
  <si>
    <t>Data from a research vessel cruise in late 1994 and several years of satellite observations revealed complex interactions of ocean features off south-western Australia. The ship measurements showed that the Leeuwin Current (LC) commonly ran at 0.5 m s(-1) above the upper continental slope and extended down to approximately 250 m. South of the continent, a 200-km diameter anticyclonic eddy depressed the ocean structure in the upper 1000 m. The eddy showed influences of the LC, deep mixing in winter and summer heating. The sub-Antarctic water around the eddy was cooler, fresher and richer in nutrients and oxygen than both the eddy and the LC. Satellite thermal and topographic measurements showed that cyclonic eddies accelerated the LC along the southern upper continental slope, whereas anticyclonic eddies diverted it out to sea and then back again. The images suggested that weak eddies originating east of the Great Australian Bight migrate westward, first encountering the continental slope off the Recherche Archipelago. There, the anticyclonic eddies take on warm water from the LC and strengthen. Several anticyclonic eddies were followed westward beyond the archipelago for 18 months as they drifted at up to 5 km day(-1) and interacted with the LC and with one another.</t>
  </si>
  <si>
    <t>CSIRO Marine Res, Hobart, Tas 7001, Australia</t>
  </si>
  <si>
    <t>Commonwealth Scientific &amp; Industrial Research Organisation (CSIRO)</t>
  </si>
  <si>
    <t>Cresswell, GR (corresponding author), CSIRO Marine Res, POB 1538, Hobart, Tas 7001, Australia.</t>
  </si>
  <si>
    <t>george.cresswell@csiro.au</t>
  </si>
  <si>
    <t>Griffin, David/A-1498-2012</t>
  </si>
  <si>
    <t>Cresswell, George/0000-0003-3146-4361</t>
  </si>
  <si>
    <t>C S I R O PUBLISHING</t>
  </si>
  <si>
    <t>1323-1650</t>
  </si>
  <si>
    <t>MAR FRESHWATER RES</t>
  </si>
  <si>
    <t>Mar. Freshw. Res.</t>
  </si>
  <si>
    <t>10.1071/MF03115</t>
  </si>
  <si>
    <t>Fisheries; Limnology; Marine &amp; Freshwater Biology; Oceanography</t>
  </si>
  <si>
    <t>823CV</t>
  </si>
  <si>
    <t>WOS:000221588200006</t>
  </si>
  <si>
    <t>Jackson, GD</t>
  </si>
  <si>
    <t>Cephalopod growth: historical context and future directions</t>
  </si>
  <si>
    <t>SOUTHERN CALAMARY; SQUID; VARIABILITY; SIZE</t>
  </si>
  <si>
    <t>Univ Tasmania, Inst Antarctic &amp; So Ocean Studies, Hobart, Tas 7001, Australia</t>
  </si>
  <si>
    <t>Univ Tasmania, Inst Antarctic &amp; So Ocean Studies, Private Bag 77, Hobart, Tas 7001, Australia.</t>
  </si>
  <si>
    <t>george.jackson@utas.edu.au</t>
  </si>
  <si>
    <t>Jackson, George D/AAI-7315-2021</t>
  </si>
  <si>
    <t>1448-6059</t>
  </si>
  <si>
    <t>SI</t>
  </si>
  <si>
    <t>10.1071/MF04075</t>
  </si>
  <si>
    <t>831ZS</t>
  </si>
  <si>
    <t>WOS:000222236600001</t>
  </si>
  <si>
    <t>Advances in defining the life histories of myopsid squid</t>
  </si>
  <si>
    <t>Workshop on Cephalopod Growth held in Conjunction with 2003 Cephalopod International Advisory Council</t>
  </si>
  <si>
    <t>Phuket, THAILAND</t>
  </si>
  <si>
    <t>growth rates; Loliginidae; statolith age; validation</t>
  </si>
  <si>
    <t>LOLIGO-VULGARIS-REYNAUDII; GULF-OF-MEXICO; SEPIOTEUTHIS-LESSONIANA CEPHALOPODA; FLEXIBLE REPRODUCTIVE STRATEGIES; STATOLITH MICROSTRUCTURE; SOUTHERN CALAMARY; EUROPEAN SQUID; PHOTOLOLIGO SP; GROWTH-RATES; POPULATION-STRUCTURE</t>
  </si>
  <si>
    <t>Recent years have seen the emergence of extensive studies of myopsid squid growth of the family Loliginidae. This has greatly advanced our understanding of their life histories. Growth data have accumulated from both statolith-based field studies and culture work. Validation studies on loliginids continue to support that statolith increments are laid down daily. Ageing work has also revealed that short lifespans are typical, with nine of the 21 species studied having lifespans &lt; 200 days, eight species with lifespans between 200 days and about 1 year and only three species with lifespans &gt; 1 year. While growth is continuous and non-asymptotic, the marked plasticity in size-at-age has hindered the development of a general model to describe squid growth. Many loliginids are multiple spawners that continue to feed while growing and reproducing, although there has been some documented loss of conditon in mature individuals. An exception is Loligo opalescens, which has a terminal spawning strategy with a marked loss of condition and post-spawning mortality. Quantification of the cost of living and the energetics of loliginids are likely to be best achieved by combining field and culture studies on a species such as the Indo-Pacific squid Sepioteuthis lessoniana.</t>
  </si>
  <si>
    <t>10.1071/MF03152</t>
  </si>
  <si>
    <t>WOS:000222236600004</t>
  </si>
  <si>
    <t>Semmens, JM; Pecl, GT; Villanueva, R; Jouffre, D; Sobrino, I; Wood, JB; Rigby, PR</t>
  </si>
  <si>
    <t>Understanding octopus growth: patterns, variability and physiology</t>
  </si>
  <si>
    <t>ageing; cephalopod; growth; growth modelling; octopus</t>
  </si>
  <si>
    <t>ELEDONE-CIRRHOSA CEPHALOPODA; LOLIGO-FORBESI CEPHALOPODA; FATTY-ACID-COMPOSITION; LIFE-HISTORY; VULGARIS PARALARVAE; REPRODUCTIVE STRATEGIES; INCREMENT ANALYSIS; LABORATORY GROWTH; MIMUS CEPHALOPODA; SEXUAL-MATURATION</t>
  </si>
  <si>
    <t>Octopuses are generally characterised by rapid non-asymptotic growth, with high individual variability. However, in situ octopus growth is not well understood. The lack of an ageing method has resulted in the majority of our understanding of octopus growth coming from laboratory studies. Despite not being applicable to cephalopods, Modal Progression Analysis (MPA) of length-frequency data is the most common method for examining in situ octopus growth. Recently, counting growth increments in beaks and vestigial shells, and quantifying lipofuscin in brain tissue, have all shown promise for the ageing octopus. Octopuses generally demonstrate two-phase growth in the laboratory, with physiological changes possibly associated with the switch between an initial rapid exponential phase and a slower power growth phase. Temperature and food ration and quality are key factors influencing the initial growth phase. Temperature, however, does not appear to affect the second phase in any consistent way, perhaps because maturity stage can influence the growth response. There may be basic differences in the mechanisms of octopus muscle growth compared with that of other cephalopods. Furthermore, higher relative maintenance energy expenditure, along with the low energy content of their prey, may account for the relatively slow growth of deep-sea octopuses compared to littoral species.</t>
  </si>
  <si>
    <t>Univ Tasmania, Inst Antarctic &amp; So Ocean Studies, Hobart, Tas 7001, Australia; CSIC, Inst Ciencias Mar, E-08003 Barcelona, Spain; IRD, Ctr Rech Halieut Mediterraneenne &amp; Trop, F-34203 Sete, France; Univ Cadiz, Inst Espanol Oceanog, Cadiz 11006, Spain; Bermuda Biol Stn Res, St Georges GE 01, Bermuda; Hokkaido Univ, Grad Sch Fisheries Sci, Hakodate, Hokkaido 0418611, Japan</t>
  </si>
  <si>
    <t>University of Tasmania; Consejo Superior de Investigaciones Cientificas (CSIC); CSIC - Centro Mediterraneo de Investigaciones Marinas y Ambientales (CMIMA); CSIC - Instituto de Ciencias del Mar (ICM); Institut de Recherche pour le Developpement (IRD); Universidad de Cadiz; Spanish Institute of Oceanography; Hokkaido University</t>
  </si>
  <si>
    <t>Univ Tasmania, Inst Antarctic &amp; So Ocean Studies, Private Bag 49, Hobart, Tas 7001, Australia.</t>
  </si>
  <si>
    <t>jayson.semmens@utas.edu.au</t>
  </si>
  <si>
    <t>Pecl, Gretta/D-7267-2011; Villanueva, Roger/D-6911-2011</t>
  </si>
  <si>
    <t>Pecl, Gretta/0000-0003-0192-4339; Villanueva, Roger/0000-0001-8122-3449; Semmens, Jayson/0000-0003-1742-6692; Ignacio, Sobrino/0000-0001-9747-017X</t>
  </si>
  <si>
    <t>10.1071/MF03155</t>
  </si>
  <si>
    <t>WOS:000222236600005</t>
  </si>
  <si>
    <t>Pecl, GT; Steer, MA; Hodgson, KE</t>
  </si>
  <si>
    <t>The role of hatchling size in generating the intrinsic size-at-age variability of cephalopods: extending the Forsythe Hypothesis</t>
  </si>
  <si>
    <t>body size; growth variability; life history; squid; temperature</t>
  </si>
  <si>
    <t>CALAMARY SEPIOTEUTHIS-AUSTRALIS; SQUID LOLIGO-FORBESI; EMBRYONIC-DEVELOPMENT; LIFE-HISTORY; GROWTH; TEMPERATURE; LOLIGINIDAE; ATLANTIC; MATURATION; MATURITY</t>
  </si>
  <si>
    <t>Cephalopods are characterised by extreme variability in size-at-age, with much of this variation attributed to effects of temperature and food. However, even siblings reared under identical conditions display a wide range of sizes after a period of growth. Hatchling size may represent a source of variation encompassed within adult size-at-age data (i) within a given cohort (variation in hatchling size suggests that a cohort's growth trajectory will have a 'staggered start') and (ii) as hatchling size also varies as a function of incubation temperature this will vary across broader scales (i.e. between cohorts). Field-hatchling size data for Sepioteuthis australis were used in simple deterministic simulations, extending Forsythe's (1993) temperature hypothesis, to investigate the influence of hatchling size on adult size-at-age variability. Within a cohort, our growth projections suggest that after 90 days, a large hatchling growing at a specific constant percentage daily growth rate (% BW day(-1)), would be approximately double the size of the small hatchling growing at exactly the same rate, irrespective of the growth rate used. When considering growth of different cohorts, decreases in hatchling size, as temperatures increase during a spring/summer spawning season, may be partially counteracting the 'Forsythe-effect' of increased growth rate at higher temperatures.</t>
  </si>
  <si>
    <t>Univ Tasmania, Tasmanian Aquaculture &amp; Fisheries Inst, Marine Res Labs, Hobart, Tas 7001, Australia; Univ Tasmania, Tasmanian Aquaculture &amp; Fisheries Inst, Sch Aquaculture, Launceston, Tas 7250, Australia; Univ Tasmania, Inst Antarctic &amp; So Ocean Studies, Hobart, Tas 7001, Australia</t>
  </si>
  <si>
    <t>University of Tasmania; University of Tasmania; University of Tasmania</t>
  </si>
  <si>
    <t>Univ Tasmania, Tasmanian Aquaculture &amp; Fisheries Inst, Marine Res Labs, Private Bag 49, Hobart, Tas 7001, Australia.</t>
  </si>
  <si>
    <t>Gretta.Pecl@utas.edu.au</t>
  </si>
  <si>
    <t>Pecl, Gretta/D-7267-2011</t>
  </si>
  <si>
    <t>Pecl, Gretta/0000-0003-0192-4339</t>
  </si>
  <si>
    <t>10.1071/MF03153</t>
  </si>
  <si>
    <t>WOS:000222236600007</t>
  </si>
  <si>
    <t>Grist, EPM; Jackson, GD</t>
  </si>
  <si>
    <t>Energy balance as a determinant of two-phase growth in cephalopods</t>
  </si>
  <si>
    <t>critical transition size; critical transition time; cuttlefish; energy conservation; growth; metabolism</t>
  </si>
  <si>
    <t>SQUID GROWTH; LIFE-CYCLE; TEMPERATURE; REPRODUCTION; LOLIGINIDAE; PERFORMANCE; CONSTRAINTS; HYPOTHESIS; SPAN; AGE</t>
  </si>
  <si>
    <t>Many cephalopods exhibit early exponential growth, which abruptly shifts to a much slower rate. Using a simple model of the energy balance between intake from food and expenditure in growth plus metabolism, we consider how the two-phase growth pattern may be explained in terms of energy conservation. We determine the post-hatch size and age at which exponential growth would be expected to terminate. The model is tested with laboratory hatchling data obtained for the giant Australian cuttlefish Sepia apama. Together with growth data obtained for a related species, Sepia officinalis, model projections for critical transition size and age interestingly suggest that the metabolism of S. apama in the natural habitat may be three to four times higher than in captivity. A sensitivity analysis indicates that the critical transition size is in general more sensitive than critical transition time to any invoked changes in metabolic rate.</t>
  </si>
  <si>
    <t>CSIRO Marine Res, Hobart, Tas 7001, Australia; Univ Tasmania, Inst Antarctic &amp; So Ocean Studies, Hobart, Tas 7001, Australia</t>
  </si>
  <si>
    <t>Commonwealth Scientific &amp; Industrial Research Organisation (CSIRO); University of Tasmania</t>
  </si>
  <si>
    <t>CSIRO Marine Res, GPO Box 1538, Hobart, Tas 7001, Australia.</t>
  </si>
  <si>
    <t>ericg@stams.strath.ac.uk</t>
  </si>
  <si>
    <t>10.1071/MF03154</t>
  </si>
  <si>
    <t>WOS:000222236600008</t>
  </si>
  <si>
    <t>Miller, TW; Hankin, DG</t>
  </si>
  <si>
    <t>Descriptions and durations of premolt setal stages in female Dungeness crabs, Cancer magister</t>
  </si>
  <si>
    <t>PACIFIC EDIBLE CRAB; MOLT CYCLE; NORTHERN CALIFORNIA; ANTARCTIC KRILL; BLUE-CRAB; CALLINECTES-SAPIDUS; CHIONOECETES-OPILIO; EUPHAUSIA-SUPERBA; INTERMOLT CYCLE; GROWTH</t>
  </si>
  <si>
    <t>For crustaceans with a well-defined annual molting season, such as adult female Dungeness crabs (Cancer magister Dana), setal molt staging can, in principle, be used to predict molting destiny of individual crabs. Size-specific predictions of molting probability could, in turn, be useful for estimating mortalities due to molting. Female Dungeness crabs were collected January-March 1997 at depths of 10-30 m off the California coast, USA (41degreesN). Intermolt stage A(1)-C-4 and premolt stages D-0, D-1', D-1, D-1''' and greater than or equal toD(2) were described based on features of the branchial epipod. Laboratory experiments suggested that stage D-1' was the earliest stage beyond which eventual molting was inevitable so that molting destiny could be determined. Estimated mean number of days from the beginning of stage D-1' to molting was 85. Estimated individual stage durations, based on laboratory experiments, were 24, 51, -4, 18, and 20 days, respectively, for stages D-0, D-1', D-1, D-1''', and greater than or equal toD(2). The estimated -4 days for stage D-1' suggests that this stage must be very brief and raises a question of its utility in designation of molt stages. Molt staging of three field samples, 300-600 crabs in each, collected prior to the 1997 annual molting season, indicated an increase in the size and frequency of crabs staged D-1' or later as the time to molt approached, although crabs of 150 mm carapace width and larger showed few signs of molt preparation. Because the duration of the molting season (approximately 120 days) for adult female C. magister in northern California exceeds the estimated maximum duration of reliable prediction of molting destiny (85 days), it does not appear that molt staging can be used to predict molting destiny in this population. However, the procedures that we have used in this paper for application to female C. magister might be used with success for other crustaceans if the duration of stages D-1' to molting exceeds the duration of the molting season, and furthermore may be used for describing temporal molting trends.</t>
  </si>
  <si>
    <t>Humboldt State Univ, Dept Fisheries Biol, Arcata, CA 95521 USA; Oregon State Univ, Hatfield Marine Sci Ctr, Cooperat Inst Marine Resources Studies, Newport, OR 97365 USA</t>
  </si>
  <si>
    <t>California State University System; California State Polytechnic University, Humboldt; Oregon State University</t>
  </si>
  <si>
    <t>Miller, TW (corresponding author), Humboldt State Univ, Dept Fisheries Biol, Arcata, CA 95521 USA.</t>
  </si>
  <si>
    <t>10.1007/s00227-003-1180-y</t>
  </si>
  <si>
    <t>756VQ</t>
  </si>
  <si>
    <t>WOS:000187504900012</t>
  </si>
  <si>
    <t>Carrilloa, CJ; Smith, RC; Karl, DM</t>
  </si>
  <si>
    <t>Processes regulating oxygen and carbon dioxide in surface waters west of the Antarctic Peninsula</t>
  </si>
  <si>
    <t>MARINE CHEMISTRY</t>
  </si>
  <si>
    <t>Southern ocean; carbon dioxide; oxygen; gas flux; net community production</t>
  </si>
  <si>
    <t>ATMOSPHERIC OXYGEN; BRANSFIELD STRAIT; SOUTHERN-OCEAN; COASTAL WATERS; CONTINENTAL-SHELF; MARINE ECOSYSTEM; GERLACHE STRAIT; AUSTRAL SUMMER; ROSS SEA; DYNAMICS</t>
  </si>
  <si>
    <t>Geographic surveys of oxygen (O-2) and carbon dioxide (CO2) concentrations in surface waters west of the Antarctic Peninsula show the large temporal and spatial variability predicted for polar regions with winter ice cover and venial phytoplankton blooms. The saturation states of surface seawater fugacity of carbon dioxide (fCO(2{Sat})) ranged from 27% to 112% relative to the atmosphere and oxygen saturation states (O2({Sat})) ranged from 81% to 157% of the corresponding air-saturated values. Areas of O-2 supersaturation and fCO(2) undersaturation occurred mostly in coastal waters and were correlated with increases in chlorophyll a indicating a biological influence. Net community production (NCP) showed offshore to onshore gradients with O-2 production as high as 23.8 mmol O-2 m(-3) day(-1) and CO2 consumption as high as 19.2 mmol C m(-3) day(-1) within coastal areas. Areas of surface water O-2 and fCO(2) supersaturation were found further offshore, suggesting heating as a locally significant process. Areas of fCO(2) supersaturation and O-2 undersaturation were also found further offshore suggesting upwelling as a source of the CO2-enriched waters. Finally, within selected coastal areas, O-2 and fCO(2) were undersaturated suggesting cooling as a locally significant process. The seasonal phasing of biological, chemical and physical processes can help explain the temporal and regional variability that was observed in the saturation states of O-2 and fCO(2). (C) 2003 Elsevier B.V. All rights reserved.</t>
  </si>
  <si>
    <t>Univ Calif Santa Barbara, Inst Computat Earth Syst Sci, Santa Barbara, CA 93106 USA; Univ Hawaii, Sch Ocean &amp; Earth Sci &amp; Technol, Honolulu, HI 96822 USA</t>
  </si>
  <si>
    <t>University of California System; University of California Santa Barbara; University of Hawaii System</t>
  </si>
  <si>
    <t>Smith, RC (corresponding author), Univ Calif Santa Barbara, Inst Computat Earth Syst Sci, Santa Barbara, CA 93106 USA.</t>
  </si>
  <si>
    <t>Karl, David/AFP-3837-2022</t>
  </si>
  <si>
    <t>Karl, David/0000-0002-6660-6721</t>
  </si>
  <si>
    <t>0304-4203</t>
  </si>
  <si>
    <t>MAR CHEM</t>
  </si>
  <si>
    <t>Mar. Chem.</t>
  </si>
  <si>
    <t>10.1016/j.marchem.2003.07.004</t>
  </si>
  <si>
    <t>Chemistry, Multidisciplinary; Oceanography</t>
  </si>
  <si>
    <t>Chemistry; Oceanography</t>
  </si>
  <si>
    <t>759RT</t>
  </si>
  <si>
    <t>WOS:000187751200002</t>
  </si>
  <si>
    <t>Barnes, DKA; Warren, NL; Webb, K; Phalan, B; Reid, K</t>
  </si>
  <si>
    <t>Polar pedunculate barnacles piggy-back on pycnogona, penguins, pinniped seals and plastics</t>
  </si>
  <si>
    <t>MARINE ECOLOGY PROGRESS SERIES</t>
  </si>
  <si>
    <t>Antarctica; species transport; fur seals; marine invasions; Lepas</t>
  </si>
  <si>
    <t>CLIMATE-CHANGE; INVASIONS; DISPERSAL; TRANSPORT; RESPONSES</t>
  </si>
  <si>
    <t>There is much concern about the potential for invasive species to enter the only marine region left with no known exotics - the Southern Ocean. Attention has focused on planktonic larval travel, shipping (ballast water and hull fouling) and marine debris as transport mechanisms. There is, however, another source of transport for biota across the Polar Frontal Zone - hitchhiking on megafauna, such as seals. In this study we report the frequency and burden of barnacles Lepaa australis attached to Antarctic fur seals Arctocephalus gazella coming ashore to breed at Bird Island, South Georgia. In the austral summers of 2001/2002, 2002/2003 and 2003/2004, female fur seals with barnacles attached arrived at Bird Island in late November/early December and peaked in mid-December. About 4 % of female fur seals carried barnacles, with the mean burden being - 10 barnacles. Pedunculate barnacles seem, therefore, to be entering the Southern Ocean in large numbers every year in the South Georgia region and probably elsewhere. We also found adult barnacles attached to a macaroni penguin and (perhaps the furthest and fastest travelling marine larvae) young stages (cyprids) on the leg ring of a wandering albatross. Barnacle plates provide a hard substratum to which other fouling marine organisms can attach, and thus travel as secondary hitch-hikers. We found polychaete worms (Spirorbidae) and a bryozoan colony (Ceneporella antarctica) encrusting a stalked barnacle attached to a pycnogonan (Collosendeis scotti). We suggest that fouling hitch-hiking barnacles (on migrating megafauna) offer a considerable natural mechanism for potential colonisers of Antarctic waters, This is of particular importance at the current time given the context of strong regional warming in the Scotia Arc-Antarctic Peninsula region.</t>
  </si>
  <si>
    <t>dkab@bas.ac.uk</t>
  </si>
  <si>
    <t>Phalan, Ben/A-5783-2009; Webb, Karen/A-5977-2010</t>
  </si>
  <si>
    <t>Phalan, Ben/0000-0001-7876-7226;</t>
  </si>
  <si>
    <t>0171-8630</t>
  </si>
  <si>
    <t>1616-1599</t>
  </si>
  <si>
    <t>MAR ECOL PROG SER</t>
  </si>
  <si>
    <t>Mar. Ecol.-Prog. Ser.</t>
  </si>
  <si>
    <t>10.3354/meps284305</t>
  </si>
  <si>
    <t>Ecology; Marine &amp; Freshwater Biology; Oceanography</t>
  </si>
  <si>
    <t>Environmental Sciences &amp; Ecology; Marine &amp; Freshwater Biology; Oceanography</t>
  </si>
  <si>
    <t>890NL</t>
  </si>
  <si>
    <t>WOS:000226518000025</t>
  </si>
  <si>
    <t>Bost, CA; Charrassin, JB; Clerquin, Y; Ropert-Coudert, Y; Le Maho, Y</t>
  </si>
  <si>
    <t>Exploitation of distant marginal ice zones by king penguins during winter</t>
  </si>
  <si>
    <t>feeding ecology; satellite tracking; king penguins; marginal ice zone</t>
  </si>
  <si>
    <t>DIEL VERTICAL MIGRATION; SATELLITE TRACKING; KERGUELEN ISLANDS; SOUTHERN-OCEAN; HABITAT; CROZET; ANTARCTICA; RESOURCES; SEABIRDS; SECTOR</t>
  </si>
  <si>
    <t>We investigated the use of Antarctic waters by king penguins in a 2 yr study based on the satellite tracking of 10 penguins from the Crozet Islands (SW Indian Ocean). All the penguins travelled towards the pack ice, with 3 of them ending their journey at the edge between the marginal ice and the dense pack ice. The mean maximum foraging range and minimal distance travelled were 1620 and 4095 km, respectively. The effect of the satellite transmitter (PTT) attachment on foraging trip duration and colony attendance was much more important in winter in comparison to the summer. The penguins spent around 24% of their trip at sea in the marginal ice zone. They explored the ice-covered habitat non-randomly as revealed by compositional analysis. The marginal ice was more used than free ice and floes areas. The strategy of travelling towards the marginal ice zone during winter ensures that the penguins have access to predictable feeding areas at a time when food availability is very low in the polar frontal zone. The diet of king penguins when foraging in Antarctic waters is unknown but may be different to their summer food at the Polar Front.</t>
  </si>
  <si>
    <t>CNRS, Ctr Etudes Biol Chize, F-79360 Beauvoir Sur Niort, Niort, France; Museum Natl Hist Nat, Lab Oceanog Phys, F-75005 Paris, France; CNRS, Ctr Ecol &amp; Physiol Energet, F-67087 Strasbourg 2, France; Natl Inst Polar Res, Itabashi Ku, Tokyo 1738515, Japan</t>
  </si>
  <si>
    <t>Centre National de la Recherche Scientifique (CNRS); Museum National d'Histoire Naturelle (MNHN); Universites de Strasbourg Etablissements Associes; Universite de Strasbourg; Centre National de la Recherche Scientifique (CNRS); Research Organization of Information &amp; Systems (ROIS); National Institute of Polar Research (NIPR) - Japan</t>
  </si>
  <si>
    <t>Bost, CA (corresponding author), CNRS, Ctr Etudes Biol Chize, Villiers Bois, F-79360 Beauvoir Sur Niort, Niort, France.</t>
  </si>
  <si>
    <t>bost@cebc.cnrs.fr</t>
  </si>
  <si>
    <t>10.3354/meps283293</t>
  </si>
  <si>
    <t>886BE</t>
  </si>
  <si>
    <t>WOS:000226200600022</t>
  </si>
  <si>
    <t>Hudson, IR; Pond, DW; Billett, DSM; Tyler, PA; Lampitt, RS; Wolff, GA</t>
  </si>
  <si>
    <t>Temporal variations in fatty acid composition of deep-sea holothurians: evidence of bentho-pelagic coupling</t>
  </si>
  <si>
    <t>holothurian; deep sea; bentho-pelagic coupling; seasonal flux; NE Atlantic lipids</t>
  </si>
  <si>
    <t>MEGANYCTIPHANES-NORVEGICA; REPRODUCTIVE-BIOLOGY; ORGANIC-MATTER; FEEDING ECOLOGY; NORTHERN KRILL; FOOD-WEB; ATLANTIC; FLOOR; OCEAN; FLUX</t>
  </si>
  <si>
    <t>Fatty acid biomarkers were used to examine the diet of deep-sea holothurians. We collected 3 species from the Porcupine Seabight and Porcupine Abyssal Plain, NE Atlantic, between 800 and 4850 m in August 2001 (summer), March 2002 (pre-spring bloom), and October 2002 (autumn). Of these, 2 species, the abyssal Amperima rosea and the bathyal Bathyplotes natans, showed significant variations in fatty acid compositions. These are likely to be seasonal. Polyunsaturated fatty acids (PUFAs) were dominant within muscle tissue of both species during August 2001 and October 2002, in particular 20:4 (n-6), 20:5 (n-3) and 22:6 (n-3). During March 2002, prior to the spring bloom, there were substantially lower proportions of PUFAs in both species, and increased amounts of mono-unsaturated fatty acids (monoenes), particularly the bacterially-derived biomarkers 18:1 (n-7) and non-methyl uninterrupted dienes (NMIDs). In contrast, the fatty acid composition of the third species, the abyssal Deima validum, remained relatively stable, with muscle tissue containing a high proportion of PUFAs during pre- and post-spring-bloom periods. A further 6 species were sampled in March 2002 and October 2002. Across all these species, 3 patterns of fatty composition were evident: (1) Laetmogone violacea had higher proportions of PUFAs in October than in March; (2) Psychropotes longicauda and Benthogone rosea had lower proportions of PUFAs in October than in March; (3) Deima validum, Oneirophanta mutabilis, Paroriza pallens and P. prouhoi had unchanged fatty acid compositions during these contrasting periods. These differences may be related to the varying reproductive strategies of the species. The implications of changes in fatty acids for reproductive processes, and how these could be factors determining allocation of lipid resources in gonads, is discussed.</t>
  </si>
  <si>
    <t>Southampton Oceanog Ctr, George Deacon Div, Southampton SO14 3ZH, Hants, England; Univ Southampton, Sch Ocean &amp; Earth Sci, Southampton SO14 3ZH, Hants, England; British Antarctic Survey, Cambridge CB3 0ET, England; Univ Liverpool, Environm Organ Chem &amp; Geochem Grp, Oceanog Labs, Dept Earth &amp; Ocean Sci, Liverpool L69 3BX, Merseyside, England</t>
  </si>
  <si>
    <t>NERC National Oceanography Centre; University of Southampton; NERC National Oceanography Centre; University of Southampton; UK Research &amp; Innovation (UKRI); Natural Environment Research Council (NERC); NERC British Antarctic Survey; University of Liverpool</t>
  </si>
  <si>
    <t>Southampton Oceanog Ctr, George Deacon Div, Empress Dock, Southampton SO14 3ZH, Hants, England.</t>
  </si>
  <si>
    <t>irh@soc.soton.ac.uk</t>
  </si>
  <si>
    <t>Wolff, George/B-7982-2018</t>
  </si>
  <si>
    <t>Wolff, George/0000-0002-9380-1039</t>
  </si>
  <si>
    <t>10.3354/meps281109</t>
  </si>
  <si>
    <t>877BS</t>
  </si>
  <si>
    <t>WOS:000225543400009</t>
  </si>
  <si>
    <t>Schmidt, K; Tarling, GA; Plathner, N; Atkinson, A</t>
  </si>
  <si>
    <t>Moult cycle-related changes in feeding rates of larval krill Meganyctiphanes norvegica and Thysanoessa spp.</t>
  </si>
  <si>
    <t>moulting; feeding; defecation; krill; larvae; Meganyctiphanes norvegica; Thysanoessa spp</t>
  </si>
  <si>
    <t>EUPHAUSIA-SUPERBA DANA; PRAWN PENAEUS-ESCULENTUS; ANTARCTIC KRILL; OXYGEN-CONSUMPTION; HOMARUS-AMERICANUS; AMMONIA EXCRETION; ENERGY BUDGETS; INGESTION RATE; L DECAPODA; BODY-SIZE</t>
  </si>
  <si>
    <t>Knowledge of crustacean moulting is derived mainly from benthic decapods, which often show profound changes in physiology and behaviour through the moult cycle. In contrast, euphausiids are suggested to be little impaired by moulting, enabling a swarming pelagic life. The aim of this study was to quantify moult cycle-related changes in the feeding activity of 2 euphausiids, Meganyctiphanes norvegica and Thysanoessa spp. Late furcilia larvae and early postlarvae were kept individually over 6 to 7 wk and fed with either a high or low concentration of Artemia salina nauplii or particulate fish food. The intermoult period, similar to9 d for M norvegica and similar to8 d for Thysanoessa spp., increased with body weight, but did not differ with food source. Moulting was partially synchronised, with up to 50 % of the individuals moulting within 48 h of each other. Daily feeding rates on A, salina decreased on the day before moulting, but increased during the next few days with highest values on Days 1 to 3 after moulting. The deviation from the mean feeding rate over the whole moult was more pronounced at the higher food concentration, reaching up to 40 %. Likewise, the defecation volume was reduced on the moulting day and the following day to similar to50 % of the mean, but increased to 180 % of the mean on Day 3 after moulting. Thus, the moult cycle induces significant changes in feeding rates of larval euphausiids with a similar succession of events and intensity as observed in decapods. Feeding rates, extrapolated from spot measurements on a few individuals, are unlikely to represent average values over the whole moult cycle, especially when populations moult synchronously. We propose a protocol to increase the precision of field estimates on feeding rates.</t>
  </si>
  <si>
    <t>Inst Balt Sea Res Warnemunde, D-18119 Rostock, Germany; British Antarctic Survey, NERC, Cambridge CB3 0ET, England</t>
  </si>
  <si>
    <t>Inst Balt Sea Res Warnemunde, Seestr 15, D-18119 Rostock, Germany.</t>
  </si>
  <si>
    <t>kasc@bas.ac.uk</t>
  </si>
  <si>
    <t>Atkinson, Angus/HOH-3417-2023</t>
  </si>
  <si>
    <t>10.3354/meps281131</t>
  </si>
  <si>
    <t>WOS:000225543400011</t>
  </si>
  <si>
    <t>Thiemann, GW; Budge, SM; Bowen, WD; Iverson, SJ</t>
  </si>
  <si>
    <t>Comment on Grahl-Nielsen et al. (2003) 'Fatty acid composition of the adipose tissue of polar bears and of their prey: ringed seals, bearded seals and harp seals'</t>
  </si>
  <si>
    <t>ANTARCTIC FUR SEALS; FORAGING ECOLOGY; CLASSIFICATION TREES; HARBOR SEALS; DIET; BLUBBER; SIGNATURES; WATER; MILK; MARKERS</t>
  </si>
  <si>
    <t>Dalhousie Univ, Dept Biol, Halifax, NS B3H 4J1, Canada; Dalhousie Univ, Dept Food Sci &amp; Technol, Halifax, NS B3J 2X4, Canada; Bedford Inst Oceanog, Marine Fish Div, Dartmouth, NS B2Y 4A2, Canada</t>
  </si>
  <si>
    <t>Dalhousie University; Dalhousie University; Bedford Institute of Oceanography; Fisheries &amp; Oceans Canada</t>
  </si>
  <si>
    <t>Dalhousie Univ, Dept Biol, 1355 Oxford St, Halifax, NS B3H 4J1, Canada.</t>
  </si>
  <si>
    <t>thiemann@dal.ca</t>
  </si>
  <si>
    <t>Bowen, William D/D-2758-2012; Thiemann, Gregory/J-9517-2013; Bowen, William/AAE-7204-2022</t>
  </si>
  <si>
    <t>Bowen, William/0000-0001-8334-5677; Iverson, Sara/0000-0003-2842-4094; Thiemann, Gregory/0000-0002-1888-900X; Budge, Suzanne/0000-0003-4984-7344</t>
  </si>
  <si>
    <t>10.3354/meps281297</t>
  </si>
  <si>
    <t>WOS:000225543400025</t>
  </si>
  <si>
    <t>Catry, P; Phillips, RA; Phalan, B; Silk, JRD; Croxall, JP</t>
  </si>
  <si>
    <t>Foraging strategies of grey-headed albatrosses Thalassarche chrysostoma:: integration of movements, activity and feeding events</t>
  </si>
  <si>
    <t>seabird; feeding behaviour; stomach temperature; salp; jellyfish; South Georgia</t>
  </si>
  <si>
    <t>BIRD ISLAND; DIOMEDEA-CHRYSOSTOMA; MARINE-ENVIRONMENT; PELAGIC SEABIRDS; ACTIVITY PATTERN; SOUTH-GEORGIA; PREY; DIET; EXPLOITATION; MELANOPHRIS</t>
  </si>
  <si>
    <t>We identified a range of foraging strategies adopted by grey-headed albatrosses Thalassarche chrysostoma rearing chicks at Bird Island, South Georgia, by simultaneously using satellite telemetry, wet/dry activity recorders and stomach temperature loggers. The albatrosses foraged mostly over oceanic waters, probably associated with the Polar Front north of South Georgia, and also over shelf-slope waters around the Antarctic Peninsula. After leaving the colony, birds commuted to areas with predictable prey concentrations, where they remained for several days. During search periods, birds landed more often and had a higher intake rate, but spent the same proportion of time in flight as on commuting days. Although intake rates were particularly high in shelf-break waters around the Antarctic Peninsula (only one individual foraged in this area), prey were also consumed in reasonable quantities during commuting flights. While at sea, birds spent most (81%) of the day flying, and most (94%) of the night resting on the water. A considerable proportion (26% by mass) of prey was consumed during darkness. The majority of prey were detected and captured during search flights, but 35% were located while sitting on the sea surface. Many ingestion events (up to 27% of the overall food intake) showed temperature signatures characteristic of fluids, suggesting that albatrosses may feed on gelatinous and rapidly digested prey (e.g. salps and jellyfish) much more often than previously suspected. Diet samples delivered to the chicks comprised mostly squid (particularly Martialia hyadesi) and Antarctic krill Euphausia superba.</t>
  </si>
  <si>
    <t>Inst Super Psicol Aplicada, Unidade Invest Ecoetol, Rua Jardim Tabaco 44, P-1149041 Lisbon, Portugal.</t>
  </si>
  <si>
    <t>paulo.catry@netc.pt</t>
  </si>
  <si>
    <t>Phalan, Ben/A-5783-2009; Catry, Paulo/I-5408-2013</t>
  </si>
  <si>
    <t>Phalan, Ben/0000-0001-7876-7226; Catry, Paulo/0000-0003-3000-0522</t>
  </si>
  <si>
    <t>10.3354/meps280261</t>
  </si>
  <si>
    <t>873GS</t>
  </si>
  <si>
    <t>WOS:000225268500022</t>
  </si>
  <si>
    <t>Tornero, V; Borrell, A; Forcada, J; Aguilar, A</t>
  </si>
  <si>
    <t>Tissue distribution of retinoids in common dolphins Delphinus delphis</t>
  </si>
  <si>
    <t>retinoids; common dolphin; compartmentation; blubber; biomarker; Northwestern Spain</t>
  </si>
  <si>
    <t>VITAMIN-A STATUS; SEAL PHOCA-VITULINA; FATTY-ACYL ESTERS; FISH-BASED DIETS; A(2) 3,4-DIDEHYDRORETINOL; ACYLTRANSFERASE ACTIVITY; FRACTIONS THEREOF; URSUS-MARITIMUS; A(1) RETINOL; GREY SEALS</t>
  </si>
  <si>
    <t>Exposure to organochlorines induces retinoid deficiency in mammals; hence, retinoids are potential biomarkers of the impact of these pollutants. Appropriate target tissues to monitor retinoids in cetaceans have not been properly identified because of a lack of information on the contribution of each tissue to total body retinoids. Therefore, we have addressed this issue by studying the contribution of the main body tissues to retinoids in 21 common dolphins obtained from incidental catches and in apparent good health and nutritive condition. Although concentrations in the liver were highest, those in blubber were also high and accounted for 43% of the total retinoid load of the compartments examined. As blubber can be obtained using non-invasive biopsy techniques, this tissue is proposed as a reliable indicator of retinoid status in cetaceans. However, blubber topographical variation in structure and composition requires standardization of sampling sites. Retinoid concentrations did not differ significantly between sexes or with body size for any of the tissues, but the lipid content of blubber strongly influenced these concentrations. Biopsies from healthy, free-ranging individuals are preferred to samples from stranded animals. Further research on the influence of factors (age, sex, reproductive condition, diet) that potentially affect retinoid levels is required to implement the use of retinoids as biomarkers of pollutant exposure in cetaceans.</t>
  </si>
  <si>
    <t>victoriatornero@.ub.edu</t>
  </si>
  <si>
    <t>Vivia, Ariel/JAO-4693-2023; Aguilar, Alex/L-1283-2014; Borrell, Asunción/B-8257-2009; Tornero, Victoria/GPP-1018-2022</t>
  </si>
  <si>
    <t>Aguilar, Alex/0000-0002-5751-2512; Borrell, Asunción/0000-0002-6714-0724; Tornero, Victoria/0000-0002-1265-551X</t>
  </si>
  <si>
    <t>10.3354/meps280275</t>
  </si>
  <si>
    <t>Bronze, Green Published, Green Accepted</t>
  </si>
  <si>
    <t>WOS:000225268500023</t>
  </si>
  <si>
    <t>Bunker, AJ; Hirst, AG</t>
  </si>
  <si>
    <t>Fecundity of marine planktonic copepods:: global rates and patterns in relation to chlorophyll a, temperature and body weight</t>
  </si>
  <si>
    <t>fecundity; copepod; chlorophyll a; temperature; body weight; food; food limitation</t>
  </si>
  <si>
    <t>EGG-PRODUCTION RATES; LONG-ISLAND SOUND; CYCLOPOID COPEPODS; ACARTIA-TONSA; CALANUS-FINMARCHICUS; CALANOIDES-ACUTUS; FOOD AVAILABILITY; NORTHEAST WATER; GROWTH-RATES; FEMALE SIZE</t>
  </si>
  <si>
    <t>Global rates and patterns of fecundity in marine epipelagic copepods were studied as a function of temperature, body weight of the female and concentration of chlorophyll a. We divided data into 3 groups: broadcast spawners, sac spawners (including calanoids, cyclopoids and harpacticoids) and poecilostomatoids; although the latter are sac spawners, they were treated separately, but data were too sparse to examine patterns. Fecundity was positively correlated with temperature and body weight in both broadcast and sac spawners. Michaelis-Menten relationships revealed that fecundity rates are significantly related to chlorophyll a (chl a) concentration for broadcasters, but not so for sac spawners. Broadcasting copepods have a maximum fecundity (f(max)) of 47 eggs female(-1) d(-1), with a half-saturation coefficient (K-m) of 2.4 mug chl a l(-1), for a body weight of 10 mugC individual(-1), when all data are adjusted to 15degreesC. In contrast, fecundity rates in sac spawners are ca. 5 eggs female(-1) d(-1). Of the broadcaster genera examined, Centropages spp. has the highest f(max) at 71 eggs female(-1) d(-1) (data corrected to 15degreesC), and Paracalanus spp. the lowest f(max) at 25 eggs female(-1) d(-1). In the sac-spawning Pseudocalanus spp. we found a significant relationship between fecundity and chl a, with an f(max) of only 7.8 eggs female(-1) d(-1), while for Oithona spp. no significant relationship was evident. By comparing in situ with laboratory food-saturated rates we were able to assess the degree to which fecundity is food-limited in the natural environment. The degree of food limitation increases with increasing temperature in sac spawners; at low temperatures (similar to5degreesC) in situ rates are similar to laboratory food-saturated rates, but at 25degreesC rates are 23% of laboratory food-saturation values. In nature, increasing food limitation with increasing temperature may be the result of greater food requirements to balance respiration demands, i.e. decreasing net growth efficiency in warmer situations. It may also be due to lower availability of suitable food in terms of quality or quantity with increasing temperature, possibly as a result of increased dominance of smaller phytoplankton size fractions (e.g. picoplankton) in warm waters. Food limitation in the environment may be more severe than these comparisons suggest, as laboratory food-saturated fecundity rates in broadcasters may be as low as 36% of the in situ maximum rates (fmax rates).</t>
  </si>
  <si>
    <t>Heriot Watt Univ, Dept Biol Sci, Edinburgh EH14 4AS, Midlothian, Scotland; British Antarctic Survey, NERC, Cambridge CB3 0ET, England</t>
  </si>
  <si>
    <t>Heriot Watt University; UK Research &amp; Innovation (UKRI); Natural Environment Research Council (NERC); NERC British Antarctic Survey</t>
  </si>
  <si>
    <t>Heriot Watt Univ, Dept Biol Sci, Edinburgh EH14 4AS, Midlothian, Scotland.</t>
  </si>
  <si>
    <t>a.j.bunker@hw.ac.uk</t>
  </si>
  <si>
    <t>Hirst, Andrew G/A-6296-2013</t>
  </si>
  <si>
    <t>Hirst, Andrew/0000-0001-9132-1886</t>
  </si>
  <si>
    <t>10.3354/meps279161</t>
  </si>
  <si>
    <t>866VB</t>
  </si>
  <si>
    <t>WOS:000224800400017</t>
  </si>
  <si>
    <t>Teixidó, N; Garrabou, J; Gutt, J; Arntz, WE</t>
  </si>
  <si>
    <t>Recovery in Antarctic benthos after iceberg disturbance:: trends in benthic composition, abundance and growth forms</t>
  </si>
  <si>
    <t>antarctica; benthic communities; disturbance; growth forms; life-history traits; recovery; underwater photography; GIS</t>
  </si>
  <si>
    <t>WEDDELL SEA; LIFE-HISTORIES; PHYTOPLANKTON BIOMASS; MARINE-INVERTEBRATES; PARTICULATE MATTER; KAPP-NORVEGIA; COMMUNITIES; DYNAMICS; IMPACT; AGE</t>
  </si>
  <si>
    <t>The response of an Antarctic benthic community to iceberg disturbance was investigated using underwater photographs (1 m(2) each) on the SE Weddell Sea shelf. This study: (1) characterises composition, coverage, number of patches and area of sessile benthic fauna, (2) describes faunal heterogeneity using MDS ordination and identifies 'structural taxa' of each recovery stage, and (3) analyses changes of growth-form patterns during Antarctic recovery. We observed changes in the space occupation of benthic organisms along the recolonisation stages. Uncovered sediment characterised the early stages ranging from 98 to 91% of the coverage. The later stages showed high (70.5%) and intermediate (52.5%) values of benthic coverage, where demosponges, bryozoans and ascidians exhibited a high number of patches and taxa. Several 'structural species' were identified among the stages, and information is provided on their coverage, number of patches and area. Overall, maximum areas of patches increased as recovery proceeded. Early stages were characterised by the presence of pioneer taxa, which only partly covered the bottom sediment but were locally abundant (e.g. the bryozoan Cellarinella spp. and the gorgonian Primnosis antarctica with a maximum coverage of 13 and 3%, and 51 and 30 patches m(-2), respectively). Soft bush-like bryozoans, sheet-like sabellid polychaetes, and tree-like sponges, gorgonians, bryozoans and ascidians were the first colonisers. Mound-like sponges and ascidians as well as tree-like organisms with a long lifespan and different reproductive strategies defined the late stages. We conclude by comparing the selected,structural species' and relating their life-history traits to differences in distribution in the course of Antarctic recovery.</t>
  </si>
  <si>
    <t>CSIC, CMIMA, Inst Ciencies Mar, E-08003 Barcelona, Spain; Alfred Wegener Inst Polar &amp; Marine Res, D-27568 Bremerhaven, Germany; Ctr Oceanol Marseille, Marine Endoume Stn, F-13007 Marseille, France</t>
  </si>
  <si>
    <t>Consejo Superior de Investigaciones Cientificas (CSIC); CSIC - Centro Mediterraneo de Investigaciones Marinas y Ambientales (CMIMA); CSIC - Instituto de Ciencias del Mar (ICM); Helmholtz Association; Alfred Wegener Institute, Helmholtz Centre for Polar &amp; Marine Research</t>
  </si>
  <si>
    <t>CSIC, CMIMA, Inst Ciencies Mar, Passeig Maritim Barceloneta 37-49, E-08003 Barcelona, Spain.</t>
  </si>
  <si>
    <t>nteixido@icm.csic.es</t>
  </si>
  <si>
    <t>Gutt, Julian/0000-0003-3773-9370; Teixido, Nuria/0000-0001-9286-2852</t>
  </si>
  <si>
    <t>10.3354/meps278001</t>
  </si>
  <si>
    <t>864NR</t>
  </si>
  <si>
    <t>WOS:000224640700001</t>
  </si>
  <si>
    <t>Grange, LJ; Tyler, PA; Peck, LS; Cornelius, N</t>
  </si>
  <si>
    <t>Long-term interannual cycles of the gametogenic ecology of the Antarctic brittle star Ophionotus victoriae</t>
  </si>
  <si>
    <t>inter-annual variation; reproductive effort; sedimentation events; Antarctica; Ophionotus victoriae</t>
  </si>
  <si>
    <t>SOUTH-SHETLAND ISLANDS; REPRODUCTIVE PATTERNS; CLIMATE-CHANGE; SEA; TEMPERATURE; INVERTEBRATES; VARIABILITY; ECHINODERMATA; SEASONALITY; LARVAE</t>
  </si>
  <si>
    <t>Spermatogenesis, oogenesis and fecundity are described and the gonad index calculated for 10 individuals from each month using histological and image analysis techniques for the Antarctic brittle star Ophionotus victoriae (Bell 1902). Individuals were collected between September 1997 and December 2000 from a shallow water population (15 to 20 m) on the west of the Antarctic Peninsula. Both male and female gonad index varied seasonally, where proportions of large oocytes and mature sperm decreased markedly between November and December of each year, indicating the spawning period. Although the annual timing of reproduction was consistent among years, O. victoriae displayed considerable inter-annual variation in reproductive effort. This variability was notable in the gonad and gut index of both males and females and in female fecundity, which showed no discernible change in some years, but varied more than an order of magnitude in others. We identify 3 main aspects to the reproductive ecology of 0. victoriae: (1) spawning was synchronous and annually consistent; (2) long periods were required for gamete development, with oocytes requiring similar to18 to 24 mo to mature; (3) there was clear inter-annual variability in reproductive effort and nutritional condition, which could be associated with the extent of the preceding organic sedimentation event. Subsidiary effects may also have been felt from the seasonal ice profile and temperature signal. A combination of all or some of these patterns may be an adaptation to the distinct seasonality and low level resource supply characteristic of the Antarctic and the long-term cycles intrinsic in polar environmental variables.</t>
  </si>
  <si>
    <t>Univ Southampton, SOC, Sch Ocean &amp; Earth Sci, Southampton SO14 3ZH, Hants, England; British Antarctic Survey, Cambridge CB3 0ET, England</t>
  </si>
  <si>
    <t>University of Southampton; NERC National Oceanography Centre; UK Research &amp; Innovation (UKRI); Natural Environment Research Council (NERC); NERC British Antarctic Survey</t>
  </si>
  <si>
    <t>Univ Southampton, SOC, Sch Ocean &amp; Earth Sci, Southampton SO14 3ZH, Hants, England.</t>
  </si>
  <si>
    <t>ljg1@soc.soton.ac.uk</t>
  </si>
  <si>
    <t>Grange, Laura/E-8495-2014</t>
  </si>
  <si>
    <t>Grange, Laura/0000-0001-9222-6848</t>
  </si>
  <si>
    <t>10.3354/meps278141</t>
  </si>
  <si>
    <t>WOS:000224640700012</t>
  </si>
  <si>
    <t>Kattner, G; Thomas, DN; Haas, C; Kennedy, H; Dieckmann, GS</t>
  </si>
  <si>
    <t>Surface ice and gap layers in Antarctic sea ice: highly productive habitats</t>
  </si>
  <si>
    <t>Antarctic sea ice; gap layers; biogeochemistry; particulate organic matter; dissolved organic matter; chlorophyll a; nutrients</t>
  </si>
  <si>
    <t>DISSOLVED ORGANIC-MATTER; WEDDELL SEA; PACK-ICE; INORGANIC NUTRIENTS; ROSS SEA; SUMMER; CARBON; WINTER; SNOW; COMMUNITIES</t>
  </si>
  <si>
    <t>Biogeochemical investigations of the upper layers of sea ice were made on layered summer ice floes collected from the Weddell Sea, Antarctica, from mid-February to March 1997. The surface layers had a clearly defined bottom layer immediately overlying a gap filled with seawater. Generally the gap covered rotten sea ice below. Using differences in algal biomass, mostly in the bottom layer of the surface ice overlying the gap, the floes were classified as low, moderate or high biomass. In addition, a floe with a re-frozen gap layer was studied. In the floes with the highest biomass, particulate organic carbon (POC) and nitrogen (PON) reached concentrations of up to 6000 muMC and 600 muMN in the bottom layer. In the upper part of the surface ice layer and the gap water, particulate and dissolved organic matter concentrations (POM, DOM) were clearly lower. High concentrations of POM were generally accompanied by high values of DOM although POM values generally exceeded DOM. All C and N contents of organic matter were significantly correlated. In gap waters, POM was low but still clearly higher than in the surrounding seawater, whereas DOM was in the range of seawater concentrations. Most POC/PON and C/chlorophyll a ratios pointed to an actively growing algae community, whereas the higher and more variable DOC/DON ratios reflected the various sources influencing DOM composition. Nitrate and silicate closely followed the signature of salinity, reaching in some gap water samples values similar to seawater concentrations. In some samples, in particular from the upper part of the surface ice layer, nitrate was totally exhausted. The distribution of the regenerated nutrients ammonium and phosphate was totally different from that of nitrate and silicate, reaching values of up to 15.9 and 9.08 muM, respectively. The bottom ice layer of the floe with the re-frozen gap layer had a high biomass similar to that of the high-biomass ice floe. DOC concentrations were lower, and DON maximum was not clearly linked with DOC maximum, but instead was associated with high ammonium and phosphate concentrations. The significant correlations between POM and DOM as well as between nitrate and silicate and between the regenerated nutrients ammonium and phosphate indicate that the gap-layer floes are semi-enclosed, highly productive habitats that still maintain high biomass during freezing. They are ubiquitous in the Antarctic pack-ice zone and important features that support high algae standing stocks.</t>
  </si>
  <si>
    <t>Alfred Wegener Inst Polar &amp; Marine Res, D-27515 Bremerhaven, Germany; Univ Wales, Sch Ocean Sci, Menai Bridge LL59 5AB, Anglesey, Wales</t>
  </si>
  <si>
    <t>Kattner, G (corresponding author), Alfred Wegener Inst Polar &amp; Marine Res, Postfach 120161, D-27515 Bremerhaven, Germany.</t>
  </si>
  <si>
    <t>gkattner@awi-bremerhaven.de</t>
  </si>
  <si>
    <t>Haas, Christian/L-5279-2016; Dieckmann, Gerhard S/B-4307-2010; Kennedy, Hilary A/M-5574-2014; Thomas, David Neville/B-1448-2010</t>
  </si>
  <si>
    <t>Haas, Christian/0000-0002-7674-3500; Kennedy, Hilary A/0000-0003-2290-2120; Thomas, David Neville/0000-0001-8832-5907</t>
  </si>
  <si>
    <t>10.3354/meps277001</t>
  </si>
  <si>
    <t>857DH</t>
  </si>
  <si>
    <t>WOS:000224095900001</t>
  </si>
  <si>
    <t>Silverman, ED; Veit, RR; Nevitt, GA</t>
  </si>
  <si>
    <t>Nearest neighbors as foraging cues: information transfer in a patchy environment</t>
  </si>
  <si>
    <t>seabirds; foraging; nearest neighbor; black-browed albatross; local enhancement; South Georgia; compositional data analysis</t>
  </si>
  <si>
    <t>PETRELS PELECANOIDES-GEORGICUS; SPECIES FEEDING FLOCKS; DIVING PETRELS; LOCAL ENHANCEMENT; ANTARCTIC KRILL; WEDDELL SEA; SEABIRDS; ECOLOGY; ASSOCIATIONS; FOOD</t>
  </si>
  <si>
    <t>To assess the importance of both conspecifics and heterospecifics as cues to prey location, we analyzed patterns of seabird species co-occurrence along shipboard transects conducted near South Georgia (55degreesS, 35degreesW) during the austral summer. Using data collected over 9 d and 1500 km ocean, we focused on the behavior of 4 seabird species that are abundant in Antarctic waters: black-browed albatross Thalassarche melanophrys, white-chinned petrel Procellaria aequinoctialis, prion Pachyptila spp., and diving petrel Pelecanoides spp. We identified and recorded the behavior of the nearest neighbors of focal, flying individuals and demonstrated strong intraspecific associations for all 4 species. More conspecific neighbors of prions and diving petrels were also observed flying than expected due to chance. This result suggests that these birds may forage co-operatively with conspecifics. In contrast, more heterospecific neighbors were feeding than expected, and more heterospecific neighbors of white-chinned petrels, prions, and diving petrels were black-browed albatross and groups of penguins and Antarctic fur seals Arctocephalus gazella than expected by chance. We show that associations among foraging birds are not random and are not due to species-specific differences in foraging habitat. We present methods that can be used to measure and compare the strength of intra- and interspecific association among predators at sea. Our results suggest that local enhancement is an important component of the foraging strategies of Antarctic seabirds.</t>
  </si>
  <si>
    <t>Univ Michigan, Sch Nat Resources &amp; Environm, Ann Arbor, MI 48109 USA; CUNY Coll Staten Isl, Dept Biol, Staten Isl, NY 10314 USA; Univ Calif Davis, Ctr Neurosci, Davis, CA 95616 USA</t>
  </si>
  <si>
    <t>University of Michigan System; University of Michigan; City University of New York (CUNY) System; College of Staten Island (CUNY); University of California System; University of California Davis</t>
  </si>
  <si>
    <t>Univ Michigan, Sch Nat Resources &amp; Environm, 430 E Univ, Ann Arbor, MI 48109 USA.</t>
  </si>
  <si>
    <t>esilver@umich.edu</t>
  </si>
  <si>
    <t>10.3354/meps277025</t>
  </si>
  <si>
    <t>WOS:000224095900003</t>
  </si>
  <si>
    <t>Burrows, MT; Tarling, G</t>
  </si>
  <si>
    <t>Effects of density dependence on diel vertical migration of populations of northern krill: a Genetic Algorithm model</t>
  </si>
  <si>
    <t>euphausiid; Zooplankton; trade-off; Clyde Sea Area; fjord; diel vertical migration; DVM; Meganyctiphanes norvegica</t>
  </si>
  <si>
    <t>DOPPLER CURRENT PROFILERS; MEGANYCTIPHANES-NORVEGICA; EUPHAUSIA-SUPERBA; ANTARCTIC KRILL; CALANUS-FINMARCHICUS; OPTIMIZATION MODEL; SOCIAL AGGREGATION; SOUTHERN BENGUELA; BEHAVIOR; DYNAMICS</t>
  </si>
  <si>
    <t>Net and acoustic studies of diel vertical migration (DVM) in krill often show a degree of dispersion around the mean population depth, which becomes greater during night-time. Trade-off models can predict optimum depths over diet cycles but rarely explain why there is vertical scatter and why aggregations disperse at certain times. We examined density-dependent factors as a potential explanation for these phenomena. A Genetic Algorithm model was developed that predicted DVM,in a krill population based on internal state (i.e. levels of energy reserves), risk of predation and location of conspecifics. The modelling approach was designed to be dynamic in that optimal policies could respond to changing circumstances through time. Parameterisation of the model was achieved through measurements made in the Clyde Sea Area on northern krill Meganyctiphanes norvegica and its environment. Light intensity at depth was used to assess the level of risk of visual predation. Food provision was a mixture of vertically stratified phytoplankton and vertically migrating copepods. A negative exponential function was used to simulate density dependence in the food returns at each depth. Sensitivity analyses involved alterations to the level of density dependence and the metabolic rate. DVM was predicted in all sensitivity analyses and each correlated positively with net catch and acoustic observations. Increased density dependence in feeding success did not affect the mean depths chosen at night but did increase the spread of the population. The closest fit to observations was achieved when the metabolic rate was lowered and risk of mortality rate was assessed over a yearly rather than daily period. The model predicted that the population should spread more under low food conditions. We recommend that density-dependent factors be included in future state-dependent models predicting krill behaviour and life-cycle patterns.</t>
  </si>
  <si>
    <t>Dunstaffnage Marine Res Lab, Scottish Assoc Marine Sci, Oban PA37 1QA, Argyll, Scotland; British Antarctic Survey, NERC, Cambridge CB3 0ET, England</t>
  </si>
  <si>
    <t>UHI Millennium Institute; UK Research &amp; Innovation (UKRI); Natural Environment Research Council (NERC); NERC British Antarctic Survey</t>
  </si>
  <si>
    <t>Dunstaffnage Marine Res Lab, Scottish Assoc Marine Sci, Oban PA37 1QA, Argyll, Scotland.</t>
  </si>
  <si>
    <t>mtb@sams.ac.uk</t>
  </si>
  <si>
    <t>Burrows, Michael/ABF-4844-2020; Burrows, Michael T/D-9844-2013</t>
  </si>
  <si>
    <t>Burrows, Michael/0000-0003-4620-5899; Burrows, Michael T/0000-0003-4620-5899</t>
  </si>
  <si>
    <t>10.3354/meps277209</t>
  </si>
  <si>
    <t>WOS:000224095900016</t>
  </si>
  <si>
    <t>Stark, JS; Riddle, MJ; Smith, SDA</t>
  </si>
  <si>
    <t>Influence of an Antarctic waste dump on recruitment to nearshore marine soft-sediment assemblages</t>
  </si>
  <si>
    <t>environmental impact; waste dump; pollution; soft-sediment macrofauna; recruitment; Antarctica</t>
  </si>
  <si>
    <t>ACTIVE HABITAT SELECTION; SP-I LARVAE; BENTHIC INVERTEBRATES; CASEY STATION; OIL-SPILL; CONTAMINATED SEDIMENTS; ENVIRONMENTAL IMPACTS; COMMUNITY STRUCTURE; ORGANIC ENRICHMENT; EAST ANTARCTICA</t>
  </si>
  <si>
    <t>Abandoned waste dumps in Antarctica pose an environmental hazard due to contaminant mobilisation in marine and terrestrial habitats. At Casey Station, east Antarctica, a shoreline waste dump has contaminated adjacent marine sediments with metals, hydrocarbons and organic carbon. This study experimentally assessed a model whereby contamination of marine sediment can lead to changes in recruitment and differences in soft-sediment assemblages. We tested the hypotheses that recruitment would be different at disturbed 'station' locations compared to controls and different in contaminated sediment compared to control sediment. We conducted 2 reciprocal sediment-transplant field experiments over 2 consecutive years in which defaunated sediments were deployed at disturbed locations and control locations and were recovered after 9 mo (March to November: winter), and also after 12 mo. The majority of fauna recruiting to the experiment were highly motile species with non-pelagic lecithotrophic larvae, such as gammarids, tanaids, isopods and gastropods. There were large differences in recruiting assemblages between all locations and there were significant differences in recruitment between disturbed and control locations. Assemblages in contaminated sediment were significantly different from those in control sediment. Differences in abundances of individual taxa between control and contaminated sediment were complex and difficult to interpret. Assemblages recruiting to the control locations were more variable than those recruiting to disturbed locations. This study provides evidence that contaminants in marine sediments adjacent to the waste dump at Casey Station may be having an environmental impact.</t>
  </si>
  <si>
    <t>Australian Antarct Div, Dept Environm &amp; Heritage, Kingston, Tas 7050, Australia; Univ New England, Sch Environm Sci &amp; Nat Resource Management, Armidale, NSW 2351, Australia; Natl Marine Sci Ctr, Coffs Harbour, NSW 2450, Australia</t>
  </si>
  <si>
    <t>Australian Antarctic Division; University of New England; Southern Cross University</t>
  </si>
  <si>
    <t>Stark, JS (corresponding author), Australian Antarct Div, Dept Environm &amp; Heritage, Channel Highway, Kingston, Tas 7050, Australia.</t>
  </si>
  <si>
    <t>jonny.stark@aad.gov.au</t>
  </si>
  <si>
    <t>Ross, Donald J/F-7607-2012; Stark, Jonathan/ABF-4025-2020; Smith, Stephen D A/I-1945-2012</t>
  </si>
  <si>
    <t>Stark, Jonathan/0000-0002-4268-8072; Smith, Stephen D A/0000-0002-3372-5441</t>
  </si>
  <si>
    <t>10.3354/meps276053</t>
  </si>
  <si>
    <t>852WS</t>
  </si>
  <si>
    <t>WOS:000223788100006</t>
  </si>
  <si>
    <t>Barnes, DKA; Kuklinski, P</t>
  </si>
  <si>
    <t>Scale-dependent variation in competitive ability among encrusting arctic species</t>
  </si>
  <si>
    <t>competitive rank; overgrowth; community structure; transitivity</t>
  </si>
  <si>
    <t>MARINE BENTHIC COMMUNITIES; INTERSPECIFIC COMPETITION; SPATIAL COMPETITION; DIVERSITY GRADIENTS; SESSILE ORGANISMS; CLIMATE-CHANGE; ECOLOGY; HIERARCHIES; DISTURBANCE; OVERGROWTH</t>
  </si>
  <si>
    <t>Finding evidence for climate change in the sea has been less easy than on land. As ice-loading of nearshore waters (through ice sheet collapses) seems a most likely signal of climate warming, we looked at communities likely to be affected by changing disturbance, i.e. those encrusting boulders in shallow water. The structures of such assemblages at high latitude are highly hierarchical in which if uninterrupted by disturbance (ice-scour) succession would lead to domination by just a single species. However, unless pecking orders from place to place involve the same specific species, with the same competitive rankings, monopolisation will remain only local. To see how pecking orders varied, we examined variability in competitive performance of common species in a high Arctic lithophillic assemblage at several spatial scales. These were sampled 10(1), 10(3) and 10(5) m apart on the west coast of Spitsbergen, and 10(6) m apart, achieved by sampling southern Iceland and the Faeroe islands. We found that higher taxonomic membership was the major factor determining overgrowth performance of species. Overgrowth performance of each study species changed relatively little between samples, the same good competitors being top performers in any samples where they occurred. Overgrowth performance of each study species was also most similar in samples at the smallest spatial scale. Apart from this, the performance of each study species did not, however, become more dissimilar with increasing distance between samples. Most noteworthy was that susceptibility to variation in overgrowth performance at the regional 10(5) M scale altered with competitive ranking, i.e. pioneer and dominant species lost and won nearly all encounters respectively, wherever they were. The performance of mid-ranking species was much more variable. These results suggest that whilst the patterns of succession may differ from place to place, the end results will not. Our study provides data to support the theory that appreciation of scale is crucial to understanding community structure, diversity and potential for response to climate change, If ice-loading (disturbance) in polar waters does decrease, we suggest from our findings that a very small number of encrusting species may monopolise large areas of the shallows. Before this, though, we predict that different mid-ranked species will become more common from site to site, with limited reduction of ice (disturbance) increasing regional diversity.</t>
  </si>
  <si>
    <t>British Antarctic Survey, Cambridge CB3 0ET, England; Univ Courses Svalbard, UNIS, N-9171 Spitsbergen, Norway; Polish Acad Sci, Marine Ecol Dept, Inst Oceanol, PL-00901 Warsaw, Poland</t>
  </si>
  <si>
    <t>UK Research &amp; Innovation (UKRI); Natural Environment Research Council (NERC); NERC British Antarctic Survey; University Centre Svalbard (UNIS); Polish Academy of Sciences; Institute of Oceanology of the Polish Academy of Sciences</t>
  </si>
  <si>
    <t>Barnes, DKA (corresponding author), British Antarctic Survey, High Cross,Madingley Rd, Cambridge CB3 0ET, England.</t>
  </si>
  <si>
    <t>10.3354/meps275021</t>
  </si>
  <si>
    <t>847VN</t>
  </si>
  <si>
    <t>WOS:000223426100003</t>
  </si>
  <si>
    <t>Segregation of foraging between two sympatric penguin species: does rate maximisation make the difference?</t>
  </si>
  <si>
    <t>optimal foraging; segregation of foraging area; macaroni penguins; gentoo penguins</t>
  </si>
  <si>
    <t>ANTARCTIC FUR SEALS; SOUTH GEORGIA; PYGOSCELIS-PAPUA; DIVING BEHAVIOR; EUDYPTES-CHRYSOLOPHUS; COMMUNITY STRUCTURE; CHINSTRAP PENGUINS; PREY CONSUMPTION; FEEDING ECOLOGY; COEXISTENCE</t>
  </si>
  <si>
    <t>Macaroni Eudyptes chrysolophus and gentoo Pygoscelis papua penguins occur sympatrically at Bird Island (54degrees00'S, 38degrees02'W), South Georgia, and have a similar diet. Macaroni penguins forage at shallower depths and further from the island than gentoo penguins. We tested the hypothesis that differences in the optimal foraging behaviour at the level of individual dives help to explain this ecological foraging segregation. Using a rate maximising diving model, we predicted that macaroni penguins would obtain more energy per dive cycle than gentoo penguins only when they used patches shallower than 30 to 40 m. This prediction was supported by observations of actual dive depths. We conclude that different foraging efficiencies at different depths results in each species being differentially sensitive to the vertical distribution of prey in the water column. We suggest that differing capacities to exploit natural heterogeneity in the distribution of prey has an important role in maintaining these 2 species as sympatric predators of a common resource.</t>
  </si>
  <si>
    <t>Univ St Andrews, Gatty Marine Lab, Sea Mammal Res Unit, St Andrews KY16 8LB, Fife, Scotland; British Antarctic Survey, Cambridge CB3 0ET, England</t>
  </si>
  <si>
    <t>Mori, Y (corresponding author), Teikyo Univ Technol &amp; Sci, Dept Anim Sci, Yamanashi 4090193, Japan.</t>
  </si>
  <si>
    <t>10.3354/meps275241</t>
  </si>
  <si>
    <t>WOS:000223426100023</t>
  </si>
  <si>
    <t>Staniland, IJ; Reid, K; Boyd, IL</t>
  </si>
  <si>
    <t>Comparing individual and spatial influences on foraging behaviour in Antarctic fur seals Arctocephalus gazella</t>
  </si>
  <si>
    <t>antarctic fur seal; Arctocephalus gazella; individual variation; foraging; diet; geographic variation; diving behaviour; south Georgia</t>
  </si>
  <si>
    <t>FEEDING SPECIALIZATIONS; PATCH CHOICE; PREDATOR; ECOLOGY; VARIABILITY; TACTICS; ISLAND; TIME; DIET</t>
  </si>
  <si>
    <t>We investigated intra-specific and geographic variation in the behaviour of female Antarctic fur seals Arctocephalus gazella by serially sampling 11 individuals throughout their breeding season using satellite tracking, time-depth recorders and radio transmitters. There was significant variation between individuals in trip durations and the maximum distance reached from the breeding beach, but not in the direction of travel. We recognised 4 categories of trip duration, depending on the location of foraging: long deep-location, long intermediate-location, short intermediate-location and short shallow-location, based on the maximum distance reached from the breeding beach and the mean depth of water where diving occurred. Trip category accounted for a greater amount of the variation between trips than the identity of the seal. Seals on long deep-location trips spent proportionally less time diving, had a lower dive rate, and dived to shallower depths for shorter durations with less bottom time than seals on short shallow-location trips. There was no significant difference in the total number of dives within trips between trip categories or between individual seals. There was also no significant difference in either the mean size of krill taken by individual seals or the incidence of fishes in their diet. These data suggest there is a strong individual component to where a seal forages especially in terms of the distance it travels from the breeding beach. However, we suggest that it is where an individual forages, not who that individual is, that determines how it will behave in terms of its diving. While individual seals may exploit areas of previous feeding success, their diving behaviour within these areas is likely to be determined by the spatial and temporal distribution of the prey within them.</t>
  </si>
  <si>
    <t>British Antarctic Survey, NERC, Cambridge CB3 0ET, England; Univ St Andrews, Gatty Marine Lab, Sea Mammal Res Unit, St Andrews KY16 0HS, Fife, Scotland</t>
  </si>
  <si>
    <t>UK Research &amp; Innovation (UKRI); Natural Environment Research Council (NERC); NERC British Antarctic Survey; University of St Andrews</t>
  </si>
  <si>
    <t>ijst@bas.ac.uk</t>
  </si>
  <si>
    <t>Staniland, Iain/I-4725-2012</t>
  </si>
  <si>
    <t>Staniland, Iain/0000-0003-2736-9134</t>
  </si>
  <si>
    <t>10.3354/meps275263</t>
  </si>
  <si>
    <t>WOS:000223426100025</t>
  </si>
  <si>
    <t>Forcada, J; Gazo, M; Aguilar, A; Gonzalvo, J; Fernández-Contreras, M</t>
  </si>
  <si>
    <t>Bottlenose dolphin abundance in the NW Mediterranean:: addressing heterogeneity in distribution</t>
  </si>
  <si>
    <t>abundance; conservation; aerial survey; availability bias; Balearic islands; Balearic sea; bottlenose dolphin; covariate analysis; line transect; Tursiops truncatus</t>
  </si>
  <si>
    <t>STRIPED DOLPHINS; TURSIOPS-TRUNCATUS; POLYCHLORINATED-BIPHENYLS</t>
  </si>
  <si>
    <t>Line-transect estimators were developed to assess abundance of coastal dolphins Tursiops truncatus and Stenella coeruleoalba encountered in low densities during aerial sighting surveys. The analysis improved on conventional approaches by objectively combining data from different species, survey areas and other covariates affecting dolphin delectability. Model selection and multimodel inference allowed robust estimates of precision in accounting for covariate selection uncertainty. These methods were used to estimate bottlenose dolphin abundance in NE Mediterranean waters that included a putative subpopulation in the Balearic Islands. Total abundance was estimated as 7654 (coefficient of variation, CV = 0.47; 95% CI = 1608 to 15 766) and the abundance in inshore waters of the Balearic Islands varied from 727 (CV = 0.47; 95% Cl = 149 to 148 1) dolphins in spring 2002 to 1333 (CV = 0.44; 95% CI = 419 to 2617) dolphins in autumn 2002, with an average estimate of 1030 (CV = 0.35; 95% Cl = 415 to 1849). The results do not support an exclusively coastal Balearic Island subpopulation, but they strongly indicate that the islands contain critical habitats required for the conservation of the species. Given the observed decline of the species during the last few decades, conservation-oriented management should focus on reducing or eliminating adverse fishing interactions while key areas are protected from encroachment produced by human development.</t>
  </si>
  <si>
    <t>British Antarctic Survey, NERC, Cambridge CB3 0ET, England; Univ Barcelona, Fac Biol, Dept Anim Biol Vertebrates, Barcelona 08071, Spain</t>
  </si>
  <si>
    <t>UK Research &amp; Innovation (UKRI); Natural Environment Research Council (NERC); NERC British Antarctic Survey; University of Barcelona</t>
  </si>
  <si>
    <t>jfor@bas.ac.uk</t>
  </si>
  <si>
    <t>Vivia, Ariel/JAO-4693-2023; Aguilar, Alex/L-1283-2014; Forcada, Jaume/GYU-0677-2022; Gazo, Manel/F-6088-2012</t>
  </si>
  <si>
    <t>Aguilar, Alex/0000-0002-5751-2512; Gazo, Manel/0000-0003-1159-322X; Gonzalvo Villegas, Joan/0000-0001-9008-4532</t>
  </si>
  <si>
    <t>10.3354/meps275275</t>
  </si>
  <si>
    <t>WOS:000223426100026</t>
  </si>
  <si>
    <t>Huntley, ME; Zhou, M</t>
  </si>
  <si>
    <t>Influence of animals on turbulence in the sea</t>
  </si>
  <si>
    <t>turbulence; animal swimming; epsilon</t>
  </si>
  <si>
    <t>TUNA THUNNUS-THYNNUS; KRILL AGGREGATION CHARACTERISTICS; ANCHOVY ENGRAULIS JAPONICUS; ACOUSTIC TARGET STRENGTH; SMALL-SCALE TURBULENCE; EUPHAUSIA-SUPERBA; ANTARCTIC KRILL; SWIMMING SPEED; SPATIAL-DISTRIBUTION; CALIFORNIA CURRENT</t>
  </si>
  <si>
    <t>Analysis of data on the hydrodynamics of swimming by 100 species, ranging in body mass (M) from bacteria to blue whales, leads to a model of animal-induced turbulence in the ocean. Swimming speeds and Reynolds number (Re) are strongly correlated with body mass, both at typical cruising speeds and at escape speeds associated with predator-prey interactions. We find that animals operating at Re &gt; 1000 typically form schools that are concentrated by many orders of magnitude above their average abundance. We calculate the rate of kinetic energy production by 11 representative species of schooling animals ranging in size from euphausiids to whales, and find it to be of the order of 10(-5) W kg(-1), regardless of animal size. Animal-induced turbulence is comparable in magnitude to rates of turbulent energy dissipation (epsilon) that result from major storms. The horizontal length scale (10 to 1000 m) of energy production rate by animal schools is comparable to the observed fine-scale variability in epsilon. We present detailed case studies of 4 species -Atlantic bluefin tuna, Norwegian herring, northern anchovy and Antarctic krill -all of which have schooling behavior that places them within the zone of maximum seasonal stratification where their energy production rate would be 3 to 4 orders of magnitude greater than the background average rate of turbulent energy dissipation. We conclude that schooling animals are an important source of fine-scale turbulent mixing in the ocean, especially in coastal regions during summer.</t>
  </si>
  <si>
    <t>Univ Hawaii, Hawaii Inst Marine Biol, Kaneohe, HI 96740 USA; Univ Massachusetts, Dept Environm Coastal &amp; Ocean Sci, Boston, MA 02125 USA</t>
  </si>
  <si>
    <t>University of Hawaii System; University of Massachusetts System; University of Massachusetts Boston</t>
  </si>
  <si>
    <t>Univ Hawaii, Hawaii Inst Marine Biol, POB 1346, Kaneohe, HI 96740 USA.</t>
  </si>
  <si>
    <t>mhuntley@hawaii.edu</t>
  </si>
  <si>
    <t>10.3354/meps273065</t>
  </si>
  <si>
    <t>838CQ</t>
  </si>
  <si>
    <t>WOS:000222691100006</t>
  </si>
  <si>
    <t>Beauplet, G; Dubroca, L; Guinet, C; Cherel, Y; Dabin, W; Gagne, C; Hindell, M</t>
  </si>
  <si>
    <t>Foraging ecology of subantarctic fur seals Arctocephalus tropicalis breeding on Amsterdam Island:: seasonal changes in relation to maternal characteristics and pup growth</t>
  </si>
  <si>
    <t>foraging ecology; activity budget; seasonal changes; maternal performances; pup growth; fur seal; Arctocephalus tropicalis; Amsterdam island</t>
  </si>
  <si>
    <t>SURFACE TEMPERATURES; ENERGY-EXPENDITURE; BODY-COMPOSITION; GAZELLA; TIME; BEHAVIOR; SOUTH; PREY; STRATEGY; SEABIRDS</t>
  </si>
  <si>
    <t>The distribution and availability of marine resources are directly affected by seasonal spatial changes in physical and oceanographic features. They are thus likely to influence maternal foraging provisioning patterns, efficiency, and subsequent pup growth rate of central place foragers such as otariid seals. While previous studies have documented foraging locations and diving activity of female otariids in relation to oceanographic features, few have focused on species characterised by a long pup-rearing period. The present study investigated seasonal changes in foraging parameters in relation to the following oceanographic features and maternal characteristics: foraging grounds (using satellite tags, geolocation, GIS and kernel estimation techniques), at-sea activity budget (using time-depth recorders), and the foraging success and diet of female subantarctic fur seals Arctocephalus tropicalis breeding on Amsterdam Island (southern Indian Ocean). The seals mainly exploited the subtropical front, but also exhibited large differences in seasonal distribution, from short trips in restricted foraging areas during summer to widely distributed foraging grounds during the winter. This is consistent with a seasonal shift in diet and an increasing proportion of time being dedicated to diving and resting. This increase in foraging trip duration throughout the season paralleled decreasing rates in maternal mass gain and pup growth, suggesting a decrease in food availability. During the summer, maternal mass gain rate and pup growth were related to foraging tactics (percent of time spent diving and in the core foraging area), whereas maternal characteristics such as body length were more important during the latter months of the pup-rearing period. However, no influence of age and thus no apparent advantage of female experience was detected in this study.</t>
  </si>
  <si>
    <t>Ctr Etud Biol Chize, CNRS, F-79360 Villiers En Bois, France; Ctr Rech Mammiferes Marins, F-17000 La Rochelle, France; Univ Tasmania, Sch Zool, Antarctic Wildlife Res Unit, Hobart, Tas 7001, Australia</t>
  </si>
  <si>
    <t>Centre National de la Recherche Scientifique (CNRS); University of Tasmania</t>
  </si>
  <si>
    <t>Ctr Etud Biol Chize, CNRS, F-79360 Villiers En Bois, France.</t>
  </si>
  <si>
    <t>ufuf@cebc.cnrs.fr</t>
  </si>
  <si>
    <t>Dubroca, Laurent/AAS-5187-2021; Guinet, Christophe/AAR-8457-2020; Hindell, Mark A/K-1131-2013</t>
  </si>
  <si>
    <t>Dubroca, Laurent/0000-0002-1861-0507; Hindell, Mark/0000-0002-7823-7185</t>
  </si>
  <si>
    <t>10.3354/meps273211</t>
  </si>
  <si>
    <t>WOS:000222691100018</t>
  </si>
  <si>
    <t>Sahade, R; Tatián, M; Esnal, GB</t>
  </si>
  <si>
    <t>Reproductive ecology of the ascidian Cnemidocarpa verrucosa at Potter Cove, South Shetland Islands, Antarctica</t>
  </si>
  <si>
    <t>Antarctica; ascidians; reproductive strategies; Cnemidocarpa</t>
  </si>
  <si>
    <t>STAR ODONTASTER-VALIDUS; FOOD AVAILABILITY; SEASONALITY; SEA; GAMETOGENESIS; COMMUNITIES; ASSEMBLAGES; TEMPERATURE; ENVIRONMENT; BIOLOGY</t>
  </si>
  <si>
    <t>The reproductive biology of the common Antarctic ascidian Cnemidocarpa verrucosa (Lesson) (Tunicata, Ascidiacea) was studied in a shallow-water population at Potter Cove, South Shetland Islands. Samples were taken monthly by SCUBA diving over a 15 mo period during 1996 and 1997. The reproductive cycle was examined by histological analysis of the gonads and gonad index measurements. Mean oocyte diameter peaked in June and showed a sharp decrease in August. A similar pattern was exhibited by gonad indices, which suggests a strong seasonality in reproduction. Gametogenesis was continuous year-round, although vitellogenesis, mature oocytes and mature spermatocytes were mainly observed during the austral winter. It is interesting that reproduction of this suspension feeder seems to be decoupled from the pulses of primary production characteristics of Antarctic systems and was not related to the slight, but present, temperature changes. It was striking since these 2 factors are usually among the most important in determining reproductive cycles, especially in suspension feeders. This suggests either that winter time is not so stressful, in energetic terms, at least in the Potter Cove ecosystem, or that this ascidian species is able to store energy in some organs during favorable periods to later fuel reproduction. This later idea is supported by the higher gonad production observed in 1997 compared to 1996, which coincided with higher levels of chl a that year.</t>
  </si>
  <si>
    <t>Univ Nacl Cordoba, CONICET, Fac Ciencias Exactas Fis &amp; Nat, Dept Diversidad &amp; Ecol Ecol Marina, RA-5000 Cordoba, Argentina; Univ Buenos Aires, Fac Ciencias Exactas &amp; Nat, Dept Ciencias Biol, RA-1428 Buenos Aires, DF, Argentina</t>
  </si>
  <si>
    <t>National University of Cordoba; Consejo Nacional de Investigaciones Cientificas y Tecnicas (CONICET); University of Buenos Aires</t>
  </si>
  <si>
    <t>Sahade, R (corresponding author), Univ Nacl Cordoba, CONICET, Fac Ciencias Exactas Fis &amp; Nat, Dept Diversidad &amp; Ecol Ecol Marina, Av Velez Sarsfield 299, RA-5000 Cordoba, Argentina.</t>
  </si>
  <si>
    <t>rsahade@efn.uncor.edu</t>
  </si>
  <si>
    <t>Sahade, Ricardo/0000-0001-5650-8135; Tatian, Marcos/0000-0002-9092-9184</t>
  </si>
  <si>
    <t>10.3354/meps272131</t>
  </si>
  <si>
    <t>836AK</t>
  </si>
  <si>
    <t>WOS:000222526900011</t>
  </si>
  <si>
    <t>Tarling, GA; Shreeve, RS; Ward, P; Atkinson, A; Hirst, AG</t>
  </si>
  <si>
    <t>Life-cycle phenotypic composition and mortality of Calanoides acutus (Copepoda: Calanoida) in the Scotia Sea:: a modelling approach</t>
  </si>
  <si>
    <t>copepod; development; Antarctica; population; zooplankton; life-history; growth; diapause</t>
  </si>
  <si>
    <t>RHINCALANUS-GIGAS; CALANUS-PROPINQUUS; SOUTH-GEORGIA; ANTARCTICA; DYNAMICS; GROWTH</t>
  </si>
  <si>
    <t>A modelling approach was developed to identify the most likely composition of life-cycle phenotypes and mortality rates for Calanoides acutus found within the Scotia Sea. A stage- and age-structured model was parameterised with independent measurements of early copepodite stage duration, growth rate during the productive period and mortality and weight loss during the over-wintering period. Four possible life-phenotypes were simulated, varying according to whether (1) they spent their first winter as a CIV or CV stage, and (2) they persisted for between one and several years. The mortality rate coefficient during the epipelagic period was allowed to vary between 0.01 and 0.1 d(-1). Model runs determined the effect of all possible combinations of these variables on the abundance of the late copepodite stages, and predictions were compared to a comprehensive empirical data set, encompassing observations made over the last 60 yr. Best fits were achieved when 70% of the Scotia Sea population overwintered as a CV stage and 30% as CIV, with the majority of individuals reaching adulthood in their first year (after 1 overwintering period). During the epipelagic period, the population experienced mortality rate coefficients close to 0.06 d(-1). This high rate makes it unlikely that the earliest recruits survive to the end of the productive season. Predation was responsible for over 80% of mortality during winter. Starvation, which made up the remainder, mostly affected individuals that were spawned late in the season. The total rate of overwintering mortality was less than 0.007 d(-1). Sensitivity analyses demonstrated that model predictions were robust and identified the most likely causes of interannual and spatial variation in the observed data sets.</t>
  </si>
  <si>
    <t>gant@bas.ac.uk</t>
  </si>
  <si>
    <t>Hirst, Andrew G/A-6296-2013; Atkinson, Angus/HOH-3417-2023</t>
  </si>
  <si>
    <t>10.3354/meps272165</t>
  </si>
  <si>
    <t>WOS:000222526900014</t>
  </si>
  <si>
    <t>Nakagawa, Y; Ota, T; Endo, Y; Taki, K; Sugisaki, H</t>
  </si>
  <si>
    <t>Importance of ciliates as prey of the euphausiid Euphausia pacifica in the NW North Pacific</t>
  </si>
  <si>
    <t>Euphausia pacifica; feeding; naked ciliates; Strombidium conicum; food removal</t>
  </si>
  <si>
    <t>COASTAL WATERS; ANTARCTIC KRILL; PREDATION; CARBON; PHYTOPLANKTON; TEMPERATURE; BEHAVIOR; SUPERBA; RATIO</t>
  </si>
  <si>
    <t>We investigated the feeding of Euphausia pacifica on ciliates, especially naked ciliates, in laboratory and field experiments in which cultured Strombidium conicum, or natural food assemblages, or both were given, and estimated the importance of ciliates as prey. E. pacifica ingested cultured S. conicum at rates of 0.04 to 0.07 mug C krill(-1) h(-1) at low ciliate concentration and 1.01 to 3.24 mug C krill(-1) h(-1) at high ciliate concentration, when S. conicum was given as the sole prey. The daily ration on naked ciliates ranged from 0.02 to 1.8% of body carbon when natural food assemblages enriched with S. conicum were given, and from 0.05 to 2.3% of body carbon when S, conicum was given as the sole prey. Our results provide indirect evidence that E. pacifica ingests naked ciliates and plays a role in linking microbial food webs to the classical grazing food chains.</t>
  </si>
  <si>
    <t>Tohoku Natl Fisheries Res Inst, Shiogama 9850001, Japan; Tohoku Univ, Grad Sch Agr Sci, Sendai, Miyagi 9818555, Japan</t>
  </si>
  <si>
    <t>Japan Fisheries Research &amp; Education Agency (FRA); Tohoku University</t>
  </si>
  <si>
    <t>Kinki Univ, Fisheries Lab, 1-5 Shirahama, Wakayama 6492200, Japan.</t>
  </si>
  <si>
    <t>yosizumin@yahoo.co.jp</t>
  </si>
  <si>
    <t>10.3354/meps271261</t>
  </si>
  <si>
    <t>827DT</t>
  </si>
  <si>
    <t>WOS:000221879800021</t>
  </si>
  <si>
    <t>Zapata, M; Jeffrey, SW; Wright, SW; Rodríguez, F; Garrido, JL; Clementson, L</t>
  </si>
  <si>
    <t>Photosynthetic pigments in 37 species (65 strains) of Haptophyta:: implications for oceanography and chemotaxonomy</t>
  </si>
  <si>
    <t>haptophyta; HPLC; chlorophylls c; fucoxanthins; pigment types; phylogeny; oceanography</t>
  </si>
  <si>
    <t>EMILIANIA-HUXLEYI PRYMNESIOPHYCEAE; CHLOROPHYLL-C; MARINE-PHYTOPLANKTON; PERIDINIUM-BALTICUM; HPLC MEASUREMENTS; CLASS ABUNDANCES; PHAEOCYSTIS; ALGAE; CAROTENOIDS; CHEMTAX</t>
  </si>
  <si>
    <t>The pigment compositions of 37 species (65 strains) of cultured haptophytes were analysed using improved HPLC methods. We distinguished 8 pigment types based on the distribution of 9 chlorophyll c (chl c) pigments and 5 fucoxanthin derivatives. All types contained chl c(2) and Mg-2,4-divinyl phaeoporphyrin a(5) monomethyl ester (MgDVP), fucoxanthin, diadinoxanthin and beta,beta-carotene. Pigment types were based on the following additional pigments: Type 1: chl c(1); Type 2: chl c(1) and chl c(2)-Pavlova gyrans-type; Type 3: chl c(1) and chl c(2)-monogalactosyl diacylglyceride ester (chl c(2)-MGDG [18:4/14:0]); Type 4: chl c(1), chl c(3) and non-polar chl c(1)-like; Type 5: chl c(1), chl c(3), chl c(2)-MGDG [ 18:4/14: 0] and 4-keto-fucoxanthin; Type 6: chl c(3), monovinyl chl c(3) (MV-chl c(3)), chl c(2)-MGDG [18:4/14:0], 19'-hexanoyloxyfucoxanthin and its 4-keto derivative, and traces of 19'-butanoyloxyfu-coxanthin; Type 7: similar to Type 6, minus MV-chl c(3) but with chl c(2)-MGDG [14:0/14:0] added; Type 8: similar to Type 6, minus MV-chl c(3) but with significant 19'-butanoyloxyfucoxanthin. Taxonomic associations ranged from single genera to multiple families - Type 1: Pavlovaceae, Isochrysidaceae and Pleurochrysidaceae; Type 2: Pavlovaceae; Type 3: Isochrysidaceae; Type 4: Prymnesium spp.; Type 5: Ochrosphaera spp.; Type 6: Noelaerhabdaceae, notably Emiliania spp.; Type 7: Chrysochromulina spp.; Type 8: Phaeocystaceae, Prymnesiaceae and Isochrysidaceae. These pigment types showed a strong correlation with available phylogenetic trees, supporting a genetic basis for the pigment associations. The additional marker pigments offer oceanographers greater power for detecting haptophytes in mixed populations, while also distinguishing a greater proportion of them from diatoms.</t>
  </si>
  <si>
    <t>CSIRO, Marine Res, Hobart, Tas 7001, Australia; Australian Antarctic Div, Kingston, Tas 7050, Australia; CSIC, Inst Invest Marinas, Vigo 36208, Spain</t>
  </si>
  <si>
    <t>Commonwealth Scientific &amp; Industrial Research Organisation (CSIRO); Australian Antarctic Division; Consejo Superior de Investigaciones Cientificas (CSIC); CSIC - Instituto de Investigaciones Marinas (IIM)</t>
  </si>
  <si>
    <t>CSIRO, Marine Res, GPO Box 1538, Hobart, Tas 7001, Australia.</t>
  </si>
  <si>
    <t>shirley.jeffrey@csiro.au</t>
  </si>
  <si>
    <t>Clementson, Lesley A/M-6905-2013; Rodriguez, Francisco/A-5934-2019; Garrido, Jose Luis/L-6282-2014</t>
  </si>
  <si>
    <t>Rodriguez, Francisco/0000-0002-6918-4771; Garrido, Jose Luis/0000-0001-8773-1866</t>
  </si>
  <si>
    <t>10.3354/meps270083</t>
  </si>
  <si>
    <t>823MI</t>
  </si>
  <si>
    <t>WOS:000221616700006</t>
  </si>
  <si>
    <t>Kooyman, GL; Siniff, DB; Stirling, I; Bengtson, JL</t>
  </si>
  <si>
    <t>Moult habitat, pre- and post-moult diet and post-moult travel of Ross Sea emperor penguins</t>
  </si>
  <si>
    <t>satellite transmitter; Eastern Ross Sea; Antarctica; pack ice; krill; body mass; emperor penguin</t>
  </si>
  <si>
    <t>FORAGING ECOLOGY; ANTARCTICA; BEHAVIOR</t>
  </si>
  <si>
    <t>During a series of transect legs through the pack ice of the eastern Ross Sea, aboard the RV icebreaker 'Nathaniel B. Palmer', we: (1) assessed the habitat chosen for moulting by emperor penguins, Aptenodytes forsteri, (2) determined their pre- and post-moult diets, (3) measured the pre- and post-moult body mass of the birds, and (4) tracked their post-moult movements. Diet was based on the colour of guano near the edges of ice floes and fast-ice areas. Pre- and post-moult birds were weighed at locations along the transect. Satellite transmitters were attached to 7 birds, and tracked for up to 5 mo. Birds moulted in concentrated pack ice and coastal fast ice. Offshore from the shelf slope, diet was mostly Antarctic krill Euphausia superba. Over the shelf, the diet was mainly fish and squid. Body masses of birds immediately after the moult were often less than 20 kg. After moult, satellite tracked birds remained in the pack ice but moved to the west at a rate of 13 to 41 km d(-1). One bird traveled to the Cape Roget colony, where it arrived on 15 April after 70 d and 2140 km of travel. We conclude that (1) birds are close to starvation by the end of the moult, (2) it is essential that an abundant food supply is in close proximity to the moult area, (3) penguins travel more than 2000 km on the return journey to their colonies of the western Ross Sea, and (4) reduction in the extent and seasonal duration of the pack ice would be reflected in a rapid change in the size of the breeding population of coastal west Antarctica.</t>
  </si>
  <si>
    <t>Scripps Inst Oceanog, La Jolla, CA 92014 USA; Univ Minnesota, Dept Ecol Evolut &amp; Behav, St Paul, MN 55108 USA; Canadian Wildlife Serv, Edmonton, AB T6H 3S5, Canada; NOAA, Natl Marine Mammal Lab, Alaska Fisheries Sci Ctr, Seattle, WA 98115 USA</t>
  </si>
  <si>
    <t>University of California System; University of California San Diego; Scripps Institution of Oceanography; University of Minnesota System; University of Minnesota Twin Cities; Environment &amp; Climate Change Canada; Canadian Wildlife Service; National Oceanic Atmospheric Admin (NOAA) - USA</t>
  </si>
  <si>
    <t>Scripps Inst Oceanog, Scholander Hall, La Jolla, CA 92014 USA.</t>
  </si>
  <si>
    <t>gkooyman@ucsd.edu</t>
  </si>
  <si>
    <t>, gerald/0000-0002-8872-2950</t>
  </si>
  <si>
    <t>10.3354/meps267281</t>
  </si>
  <si>
    <t>808IF</t>
  </si>
  <si>
    <t>WOS:000220562100023</t>
  </si>
  <si>
    <t>Schmidt, K; McClelland, JW; Mente, E; Montoya, JP; Atkinson, A; Voss, M</t>
  </si>
  <si>
    <t>Trophic-level interpretation based on δ15N values:: implications of tissue-specific fractionation and amino acid composition</t>
  </si>
  <si>
    <t>stable isotopes; delta N-15; amino acids; tissue; Euphausia superba; male; female</t>
  </si>
  <si>
    <t>KRILL EUPHAUSIA-SUPERBA; PRAWN PENAEUS-ESCULENTUS; DIETARY-PROTEIN CONTENT; ANTARCTIC KRILL; STABLE-ISOTOPES; NITROGEN ISOTOPES; FOOD-WEB; MEGANYCTIPHANES-NORVEGICA; COMMUNITY STRUCTURE; MARINE ZOOPLANKTON</t>
  </si>
  <si>
    <t>Stable nitrogen isotope ratios are routinely used to disentangle trophic relationships. Several authors have discussed factors in addition to diet that might contribute to variability in delta(15)N of consumers, but few studies have explored such factors in detail. For a better understanding of tissue-specific differences in delta(15)N, we examined postlarval euphausiids across a variety of seasons and regions in the Southern Ocean. The concentration and delta(15)N of individual amino acids were analysed to account for both the biochemical and physiological underpinnings of the observed bulk delta(15)N. Euphausiids showed consistent d(15)N differences of 1 to 2 parts per thousand between the digestive gland and abdominal segment, and between reproductively active males and females. These differences in bulk delta(15)N were accompanied by variations in relative proportions of amino acids (up to 5 mol %) and their delta(15)N (up to 11parts per thousand). Aspartic acid and glutamic acid had the strongest influence on bulk delta(15)N, due to their high abundance and variable delta(15)N values. Differences in relative proportions and/or delta(15)N of glycine and alanine were also important for bulk delta(15)N values. Isotopic variations in amino acids between gender and tissues were explained by dominant internal processes such as protein synthesis or degradation for energy supply, and by differences in amino acid pool sizes. Despite the offset in bulk delta(15)N between females and males, several lines of evidence suggested that their trophic levels were similar. Thus, specific amino acid composition and metabolism may confound trophic level interpretations of bulk delta(15)N values. Micronekton are normally analyzed whole in isotopic studies, and we suggest that their analyses should be restricted to comparable tissues such as muscles.</t>
  </si>
  <si>
    <t>British Antarctic Survey, NERC, Cambridge CB3 0ET, England; Inst Baltic Sea Res Warnemunde, Seestr 15, D-18119 Rostock, Germany; Georgia Inst Technol, Sch Biol, Atlanta, GA 30332 USA; Univ Aberdeen, Dept Zool, Aberdeen AB24 2TZ, Scotland</t>
  </si>
  <si>
    <t>UK Research &amp; Innovation (UKRI); Natural Environment Research Council (NERC); NERC British Antarctic Survey; Leibniz Institut fur Ostseeforschung Warnemunde; University System of Georgia; Georgia Institute of Technology; University of Aberdeen</t>
  </si>
  <si>
    <t>Atkinson, Angus/HOH-3417-2023; McClelland, James W/IWE-5143-2023; Mente, Eleni-Elena/HOC-1476-2023; Montoya, Joseph/C-3115-2013</t>
  </si>
  <si>
    <t>10.3354/meps266043</t>
  </si>
  <si>
    <t>801ZT</t>
  </si>
  <si>
    <t>WOS:000220134500005</t>
  </si>
  <si>
    <t>Phillips, RA; Silk, JRD; Croxall, JP; Afanasyev, V; Briggs, DR</t>
  </si>
  <si>
    <t>Accuracy of geolocation estimates for flying seabirds</t>
  </si>
  <si>
    <t>geolocation; error estimation; kernel analysis; smoothing; albatrosses</t>
  </si>
  <si>
    <t>ALBATROSS DIOMEDEA-EXULANS; NORTHERN ELEPHANT SEALS; FORAGING ECOLOGY; ARCHIVAL TAGS; INDIAN-OCEAN; PENGUINS; FISHERIES; PETRELS; DEVICES; AREAS</t>
  </si>
  <si>
    <t>Geolocation (Global Location Sensing or GLS logging) using archival light-recording tags offers considerable potential for tracking animal movements, yet few studies of flying seabirds have exploited this technology. Our study evaluated its effectiveness for determining foraging ranges of black-browed albatrosses Thalassarche melanophrys fitted simultaneously with GLS loggers and satellite-transmitters (Platform Terminal Transmitters, PTTs). After some preliminary validation, the position of an albatross could be determined by geolocation with a mean error +/- SD of 186 +/- 114 km (SDs of 1.66degrees and 1.82degrees of latitude and longitude, respectively). Errors from identical static loggers were lower (mean +/- SD of 85 +/- 47 km, with overall SDs of 0.61degrees and 0.99degrees of latitude and longitude, respectively) and less variable, with the difference attributable to variation in sensor orientation, intermittent shading by plumage, and the difficulty of correcting for extensive, potentially non-linear movements of flying birds. Iterative smoothing reduced both the mean error and the inflation of kernel ranges derived from GLS data, but over-smoothing contracted the extremes of the range. This reduced the overlap with radial cores apparent in the control data, and should be avoided for multinuclear GLS fix distributions. The accuracy of GLS tags is more than adequate for tracking migration and breeding-season foraging ranges of pelagic species, and for identifying broad-scale habitat preferences, overlap and potential conflict with commercial fisheries.</t>
  </si>
  <si>
    <t>10.3354/meps266265</t>
  </si>
  <si>
    <t>WOS:000220134500025</t>
  </si>
  <si>
    <t>Watson, C; White, N; Coleman, R; Church, J</t>
  </si>
  <si>
    <t>Watson, Christopher; White, Neil; Coleman, Richard; Church, John</t>
  </si>
  <si>
    <t>TOPEX/Poseidon and Jason-1: Absolute Calibration in Bass Strait, Australia</t>
  </si>
  <si>
    <t>MARINE GEODESY</t>
  </si>
  <si>
    <t>altimeter calibration; GPS buoy; Jason-1; TOPEX/Poseidon</t>
  </si>
  <si>
    <t>Updated absolute calibration results from Bass Strait, Australia, are presented for the TOPEX/Poseidon (T/P) and Jason-1 altimeter missions. Data from an oceanographic mooring array and coastal tide gauge have been used in addition to the previously described episodic GPS buoy deployments. The results represent a significant improvement in absolute bias estimates for the Bass Strait site. The extended methodology has allowed comparison between the altimeter and in situ data on a cycle-by-cycle basis over the duration of the dedicated calibration phase (formation flight period) of the Jason-1 mission. In addition, it has allowed absolute bias results to be extended to include all cycles since the T/P launch, and all Jason-1 data up to cycle 60. Updated estimates and formal 1-sigma uncertainties of the absolute bias computed throughout the formation flight period are 0 +/- 14 mm for T/P and +152 +/- 13 mm for Jason-1 (for the GDR POE orbits). When JPL GPS orbits are used for cycles 1 to 60, the Jason-1 bias estimate is 131 mm, virtually identical to the NASA estimate from the Harvest Platform off California calculated with the GPS orbits and not significantly different to the CNES estimate from Corsica. The inference of geographically correlated errors in the GDR POE orbits (estimated to be approximately 17 mm at Bass Strait) highlights the importance of maintaining globally distributed verification sites and makes it clear that further work is required to improve our understanding of the Jason-1 instrument and algorithm behavior.</t>
  </si>
  <si>
    <t>[Watson, Christopher; Coleman, Richard] Univ Tasmania, Sch Geog &amp; Environm Studies, Ctr Spatial Informat Sci, Hobart, Tas 7001, Australia; [White, Neil; Coleman, Richard; Church, John] CSIRO Marine Res, Hobart, Tas, Australia; [White, Neil; Coleman, Richard; Church, John] Antarctic Climate &amp; Ecosyst CRC, Hobart, Tas, Australia</t>
  </si>
  <si>
    <t>University of Tasmania; Commonwealth Scientific &amp; Industrial Research Organisation (CSIRO); University of Tasmania</t>
  </si>
  <si>
    <t>Watson, C (corresponding author), Univ Tasmania, Sch Geog &amp; Environm Studies, Ctr Spatial Informat Sci, Private Bag 76, Hobart, Tas 7001, Australia.</t>
  </si>
  <si>
    <t>cwatson@utas.edu.au</t>
  </si>
  <si>
    <t>Watson, Christopher S/D-4707-2013; White, Neil/B-2077-2013; Church, John A/A-1541-2012; Coleman, Richard/H-4425-2012</t>
  </si>
  <si>
    <t>Church, John A/0000-0002-7037-8194; Coleman, Richard/0000-0002-9731-7498; Watson, Christopher/0000-0002-7464-4592</t>
  </si>
  <si>
    <t>CSIRO Earth Observation Centre (EOC); Australian Postgraduate Award; CSIRO scholarship</t>
  </si>
  <si>
    <t>CSIRO Earth Observation Centre (EOC); Australian Postgraduate Award(Australian Government); CSIRO scholarship</t>
  </si>
  <si>
    <t>The CSIRO Earth Observation Centre (EOC) provided funding for this experiment. The first author is supported by an Australian Postgraduate Award and CSIRO scholarship. Geoscience Australia maintains the data from the BUR1 GPS installation and also operates the Australian Regional GPS Network (ARGN). The National Tidal Facility (NTF) operate and maintain the Burnie tide gauge with the assistance from the Burnie Ports Corporation. The CSIRO Marine Research mooring group undertook the setup, deployment and retrieval of the mooring array. Neil Adams from the Australian Bureau of Meteorology provided atmospheric pressure information. Altimetry products were obtained from the Jet Propulsion Laboratory (JPL) PO. DAAC and Centre National d'Etudes Spatiales (CNES) AVISO archives. Bruce Haines, Phil Callahan, and other members of the TOPEX/Poseidon and Jason-1 SWT provided valuable responses to numerous technical questions. Michael and Bradley Hardy are thanked for operating the boat and providing assistance during the buoy deployment campaign.</t>
  </si>
  <si>
    <t>0149-0419</t>
  </si>
  <si>
    <t>1521-060X</t>
  </si>
  <si>
    <t>MAR GEOD</t>
  </si>
  <si>
    <t>Mar. Geod.</t>
  </si>
  <si>
    <t>10.1080/01490410490465373</t>
  </si>
  <si>
    <t>Geochemistry &amp; Geophysics; Oceanography; Remote Sensing</t>
  </si>
  <si>
    <t>V24ZP</t>
  </si>
  <si>
    <t>WOS:000208448600009</t>
  </si>
  <si>
    <t>Krützen, M; Sherwin, WB; Berggren, P; Gales, N</t>
  </si>
  <si>
    <t>Population structure in an inshore cetacean revealed by microsatellite and mtDNA analysis:: Bottlenose dolphins (Tursiops sp.) in Shark Bay, Western Australia</t>
  </si>
  <si>
    <t>MARINE MAMMAL SCIENCE</t>
  </si>
  <si>
    <t>bottlenose dolphin; control region; microsatellites; population genetics; Tursiops sp.</t>
  </si>
  <si>
    <t>MITOCHONDRIAL-DNA VARIATION; GENETIC-STRUCTURE; GADUS-MORHUA; PHOCOENA-PHOCOENA; PILOT WHALES; ATLANTIC COD; DIFFERENTIATION; TRUNCATUS; DISTANCE; PATTERNS</t>
  </si>
  <si>
    <t>We examined population substructure of bottlenose dolphins (Tursiops sp). in Shark Bay, Western Australia, using 10 highly polymorphic microsatellite loci, and mitochondrial DNA (mtDNA). For microsatellite analysis, 302 different animals were sampled from seven localities throughout the bay. Analysis of genetic differentiation between sampling localities showed a significant correlation between the number of migrants (Nm) calculated from F-ST, R-ST, and private alleles, and distance between localities-a pattern of isolation-by-distance. For mtDNA, 220 individuals from all seven localities were sequenced for a 351 base pair fragment of the control region, resulting in eight haplotypes, with two distinct clusters of haplotypes. Values of F-ST and phi(ST) for mtDNA yielded statistically significant differences, mostly between localities that were not adjacent to each other, suggesting female gene flow over a scale larger than the sampled localities. We also observed a significant correlation between the number of female migrants calculated from F-ST and phi(ST) and the distance of sampling localities. Our results indicate that dispersal in female dolphins in Shark Bay is more restricted than that of males.</t>
  </si>
  <si>
    <t>Univ New S Wales, Sch Biol Earth &amp; Environm Sci, Sydney, NSW 2052, Australia; Univ Stockholm, Dept Zool, S-10691 Stockholm, Sweden; Appl Marine Mammal Ecol Grp, Australian Antarctic Div, Kingston, Tas 7005, Australia</t>
  </si>
  <si>
    <t>University of New South Wales Sydney; Stockholm University; Australian Antarctic Division</t>
  </si>
  <si>
    <t>Univ New S Wales, Sch Biol Earth &amp; Environm Sci, Sydney, NSW 2052, Australia.</t>
  </si>
  <si>
    <t>michael.kruetzen@unsw.edu.au</t>
  </si>
  <si>
    <t>Krutzen, Michael C/D-9550-2011; Sherwin, William B B/C-3432-2008</t>
  </si>
  <si>
    <t>Krutzen, Michael/0000-0003-1055-5299</t>
  </si>
  <si>
    <t>0824-0469</t>
  </si>
  <si>
    <t>1748-7692</t>
  </si>
  <si>
    <t>MAR MAMMAL SCI</t>
  </si>
  <si>
    <t>Mar. Mamm. Sci.</t>
  </si>
  <si>
    <t>10.1111/j.1748-7692.2004.tb01139.x</t>
  </si>
  <si>
    <t>765FB</t>
  </si>
  <si>
    <t>WOS:000188255500002</t>
  </si>
  <si>
    <t>Schulz, TM; Bowen, WD</t>
  </si>
  <si>
    <t>Pinniped lactation strategies: Evaluation of data on maternal and offspring life history traits</t>
  </si>
  <si>
    <t>pinnipeds; maternal; life history; adaptation; lactation; milk composition; body mass; foraging behavior; breeding substrate</t>
  </si>
  <si>
    <t>ANTARCTIC FUR SEALS; SOUTHERN ELEPHANT SEALS; ARCTOCEPHALUS-PUSILLUS-DORIFERUS; LEPTONYCHOTES-WEDDELLI PINNIPEDIA; ERIGNATHUS-BARBATUS PUPS; MASS-TRANSFER EFFICIENCY; LIONS OTARIA-FLAVESCENS; ATLANTIC HARP SEALS; PHOCA-HISPIDA PUPS; HAWAIIAN MONK SEAL</t>
  </si>
  <si>
    <t>Interspecific correlations are commonly used to explore the adaptive functions of life history traits in pinnipeds. Although adaptive conclusions are improved by the use of comparative methods that account for underlying phylogenetic relationships among species, they are still dependent on the quality of life history data. We collected pinniped species estimates for 12 maternal and offspring life history traits and evaluated these estimates based on sample size, duration of study, and methods used to obtain the data. Although excellent data exist for some species, high-quality estimates in all 33 species are not available for any of the traits studied. High-quality estimates of maternal postpartum mass are known for 12 species, neonate birth mass for 21, pup rate of mass gain for 12, lactation length for 10, and weaning mass for 10. High-quality estimates of milk composition, milk energy output, and maternal foraging behavior during lactation are limited to less than or equal to50% of species, with a taxonomic bias favoring the larger phocid species. Obtaining data on small-bodied phocid species will be critical to gaining a better understanding of the relative roles of body size and phylogeny in the evolution of pinniped lactation strategies.</t>
  </si>
  <si>
    <t>Dalhousie Univ, Dept Biol, Halifax, NS B3H 4J1, Canada; Bedford Inst Oceanog, Dartmouth, NS B2Y 4A2, Canada</t>
  </si>
  <si>
    <t>Dalhousie University; Bedford Institute of Oceanography</t>
  </si>
  <si>
    <t>Schulz, TM (corresponding author), Dalhousie Univ, Dept Biol, Halifax, NS B3H 4J1, Canada.</t>
  </si>
  <si>
    <t>tmschulz@dal.ca</t>
  </si>
  <si>
    <t>Bowen, William D/D-2758-2012; Bowen, William/AAE-7204-2022</t>
  </si>
  <si>
    <t>Bowen, William/0000-0001-8334-5677</t>
  </si>
  <si>
    <t>10.1111/j.1748-7692.2004.tb01142.x</t>
  </si>
  <si>
    <t>WOS:000188255500005</t>
  </si>
  <si>
    <t>Martian mountaineering expeditions</t>
  </si>
  <si>
    <t>MARTIAN EXPEDITION PLANNING</t>
  </si>
  <si>
    <t>SCIENCE AND TECHNOLOGY SERIES</t>
  </si>
  <si>
    <t>HELLAS REGION; MARS; GEOLOGY; PATERA; EVOLUTION; VOLCANOS; THOLUS; MONS</t>
  </si>
  <si>
    <t>Because of the lack of plate tectonics, Mars possesses volcanic structures whose heights above the Martian gravitational equipotential surface exceed the heights of the highest terrestrial mountains by several-fold. In this paper, the characteristics of the volcanoes of Mars are reviewed from the point of view of future mountaineering expeditions. The scientific objectives of such expeditions are discussed and a challenge akin to the 'Seven Summits' on Earth is suggested as a means to focus the attention of purely exploratory expeditions. Although many of these volcanoes are higher than terrestrial mountains, their slopes, particularly those of the Montes volcanoes, are often 6degrees or less. Thus, the technical skills required to reach the summits are probably of Class 2 or 3. However, the foothills of Olympus Mons, for example, and some of the collapsed calderas of the Martian Montes, Tholi and Paterae, offer climbers more interesting challenges on their way to the summits that might fall within Class 5 and higher.</t>
  </si>
  <si>
    <t>British Antarctic Survey, Cambridge CB1 3AR, England</t>
  </si>
  <si>
    <t>Cockell, CS (corresponding author), British Antarctic Survey, Madingley Rd, Cambridge CB1 3AR, England.</t>
  </si>
  <si>
    <t>UNIVELT INC</t>
  </si>
  <si>
    <t>PO BOX 28130, SAN DIEGO, CA 92128 USA</t>
  </si>
  <si>
    <t>0278-4017</t>
  </si>
  <si>
    <t>0-87703-507-5</t>
  </si>
  <si>
    <t>SCI TECH</t>
  </si>
  <si>
    <t>BY90K</t>
  </si>
  <si>
    <t>WOS:000189491500013</t>
  </si>
  <si>
    <t>Labitzke, K</t>
  </si>
  <si>
    <t>On the signal of the 11-year sunpot cycle in the stratosphere over the Antarctic and its modulation by the Quasi-Biennial Oscillation (QBO)</t>
  </si>
  <si>
    <t>METEOROLOGISCHE ZEITSCHRIFT</t>
  </si>
  <si>
    <t>SOLAR-CYCLE; SUNSPOT CYCLE; VARIABILITY; CIRCULATION; NORTHERN; TROPOSPHERE; ATMOSPHERE</t>
  </si>
  <si>
    <t>In earlier studies it was shown that during northern winters as well as northern summers the QBO must be introduced to identify a solar signal. A clear solar signal emerges only when the data are stratified according to the different phases of the QBO. This signal is often of opposite sign in the respective phases of the QBO. During the easterly phase of the QBO the height differences between solar maxima and minima imply an intensification of the polar vortex (positive Annular Mode) throughout the year during solar maxima: During the northern winter half-year positive height differences (anomalies) are observed from about 90degrees S to 60degrees N, with negative anomalies further north; and during the southern winter half-year positive anomalies exist from 90degrees N to 45degrees S, with negative anomalies further south. The structure of the anomalies is very symmetric with a change between hemispheres in May/June and October/November. The consistently positive height and temperature anomalies during solar maxima/easterly phase over the tropics and subtropics imply anomalous downwelling, i.e. a weakening of the Brewer-Dobson circulation throughout the year - during solar maxima. The antarctic polar vortex and the connected Final Warmings are influenced by the 11-year solar cycle in much the same way as the arctic polar vortex. During solar maxima/westerly phase the midwinter warmings over the Arctic and the Final Warmings over the Antarctic lead to the negative mode of the Annular Mode (weaker polar vortex). They influence the whole stratosphere with downwelling (adiabatic warming) over the polar regions and connected upwelling (adiabatic cooling) outside the respective polar regions, reaching far into the other (summer) hemisphere. This leads to an intensification of the Brewer-Dobson circulation - during solar maxima.</t>
  </si>
  <si>
    <t>Free Univ Berlin, Inst Meteorol, D-12165 Berlin, Germany</t>
  </si>
  <si>
    <t>Free University of Berlin</t>
  </si>
  <si>
    <t>Free Univ Berlin, Inst Meteorol, Carl Heinrich Becker Weg 6-10, D-12165 Berlin, Germany.</t>
  </si>
  <si>
    <t>labitzke@strat01.met.fu-berlin.de</t>
  </si>
  <si>
    <t>0941-2948</t>
  </si>
  <si>
    <t>1610-1227</t>
  </si>
  <si>
    <t>METEOROL Z</t>
  </si>
  <si>
    <t>Meteorol. Z.</t>
  </si>
  <si>
    <t>10.1127/0941-2948/2004/0013-0263</t>
  </si>
  <si>
    <t>864HL</t>
  </si>
  <si>
    <t>WOS:000224624500001</t>
  </si>
  <si>
    <t>Vazquez, SC; Coria, SH; Mac Cormack, WP</t>
  </si>
  <si>
    <t>Extracellular proteases from eight psychrotolerant antarctic strains</t>
  </si>
  <si>
    <t>MICROBIOLOGICAL RESEARCH</t>
  </si>
  <si>
    <t>Pseudomonas sp.; Antarctic bacteria; proteases; psychrotolerant bacteria; psychrophiles</t>
  </si>
  <si>
    <t>COLD-ADAPTED MICROORGANISMS; LOW-TEMPERATURE; BETA-LACTAMASE; PURIFICATION; BACTERIA; ENZYMES; METALLOPROTEASE; BIOTECHNOLOGY; GROWTH</t>
  </si>
  <si>
    <t>Extracellular proteases from 8 Antarctic psychrotolerant Pseudomonas sp. strains were purified and characterised. All of them are neutral metalloproteases, have an apparent molecular mass of 45 kDa, optimal activity at 40degreesC and pH 7-9, retaining significant activity at pH 5-11. With the exception of P96-18, which is less stable, all retain more than 50% activity after 3 h of incubation at pH 5-9 and show tow thermal stability (their half-life times range from 20 to 60 min at 40degreesC and less than 5 min at 50degreesC). These proteases can be used in commercial processes carried out at neutral pH and moderate temperatures, and are of special interest for their application in mixtures of enzymes where final thermal selective inactivation is needed. Results also highlight the relevance of Antarctic biotopes for the isolation of protease- producing enzymes active at tow temperatures. (C) 2004 Elsevier GmbH. All rights reserved.</t>
  </si>
  <si>
    <t>Univ Buenos Aires, Fac Farm &amp; Bioquim, CONICET, Catedra Microbiol Ind &amp; Biotechnol, RA-1113 Buenos Aires, DF, Argentina; Inst Antartico Argentino, RA-1010 Buenos Aires, DF, Argentina</t>
  </si>
  <si>
    <t>University of Buenos Aires; Consejo Nacional de Investigaciones Cientificas y Tecnicas (CONICET); Instituto Antartico Argentino</t>
  </si>
  <si>
    <t>Univ Buenos Aires, Fac Farm &amp; Bioquim, CONICET, Catedra Microbiol Ind &amp; Biotechnol, Junin 956 6 Piso, RA-1113 Buenos Aires, DF, Argentina.</t>
  </si>
  <si>
    <t>wmac@ffyb.uba.ar</t>
  </si>
  <si>
    <t>Vazquez, Susana/AEP-5214-2022</t>
  </si>
  <si>
    <t>Vazquez, Susana/0000-0002-0760-6254; Mac Cormack, Walter/0000-0002-5280-5463</t>
  </si>
  <si>
    <t>ELSEVIER GMBH, URBAN &amp; FISCHER VERLAG</t>
  </si>
  <si>
    <t>OFFICE JENA, P O BOX 100537, 07705 JENA, GERMANY</t>
  </si>
  <si>
    <t>0944-5013</t>
  </si>
  <si>
    <t>MICROBIOL RES</t>
  </si>
  <si>
    <t>Microbiol. Res.</t>
  </si>
  <si>
    <t>10.1016/j.micres.2004.03.001</t>
  </si>
  <si>
    <t>842GS</t>
  </si>
  <si>
    <t>WOS:000222992300009</t>
  </si>
  <si>
    <t>Gilbert, JA; Hill, PJ; Dodd, CER; Laybourn-Parry, J</t>
  </si>
  <si>
    <t>Demonstration of antifreeze protein activity in Antarctic lake bacteria</t>
  </si>
  <si>
    <t>MICROBIOLOGY-SGM</t>
  </si>
  <si>
    <t>THERMAL HYSTERESIS PROTEIN; RICH-REPEAT PROTEIN; ICE RECRYSTALLIZATION; FREEZING RESISTANCE; SALINE LAKES; IDENTIFICATION; PLANT; INHIBITION; CARROT; GROWTH</t>
  </si>
  <si>
    <t>Antifreeze proteins (AFPs) are a structurally diverse group of proteins that have the ability to modify ice crystal structure and inhibit recrystallization of ice. AFPs are well characterized in fish and insects, but very few bacterial species have been shown to have AFP activity to date. Thirty eight freshwater to hypersaline lakes in the Vestfold Hills and Larsemann Hills of Eastern Antarctica were sampled for AFPs during 2000. Eight hundred and sixty six bacterial isolates were cultivated. A novel AFP assay, designed for high-throughput analysis in Antarctica, demonstrated putative activity in 187 of the cultures. Subsequent analysis of the putative positive isolates showed 19 isolates with significant recrystallization inhibition (RI) activity. The 19 RI active isolates were characterized using ARDRA (amplified rDNA restriction analysis) and 16S rDNA sequencing. They belong to genera from the alpha- and gamma-Proteobacteria, with genera from the gamma-subdivision being predominant. The 19 AFP-active isolates were isolated from four physico-chemically diverse lakes. Ace Lake and Oval Lake were both meromictic with correspondingly characteristic chemically stratified water columns. Pendant Lake was a saline holomictic lake with different chemical properties to the two meromictic lakes. Triple Lake was a hypersaline lake rich in dissolved organic carbon and inorganic nutrients. The environments from which the AFP-active isolates were isolated are remarkably diverse. It will be of interest, therefore, to elucidate the evolutionary forces that have led to the acquisition of functional AFP activity in microbes of the Vestfold Hills lakes and to discover the role the antifreezes play in these organisms.</t>
  </si>
  <si>
    <t>Univ Nottingham, Sch Biosci, Div Food Sci, Loughborough LE12 5RD, Leics, England; Univ Nottingham, Sch Life &amp; Environm Sci, Nottingham NG7 2RD, England</t>
  </si>
  <si>
    <t>University of Nottingham; University of Nottingham</t>
  </si>
  <si>
    <t>Univ Nottingham, Sch Biosci, Div Food Sci, Sutton Bonington Campus, Loughborough LE12 5RD, Leics, England.</t>
  </si>
  <si>
    <t>gilbertj@post.queensu.ca</t>
  </si>
  <si>
    <t>Gilbert, Jack/AAF-3270-2019; hill, phil/AAQ-1081-2020</t>
  </si>
  <si>
    <t>hill, phil/0000-0002-2250-1397; Dodd, Christine/0000-0002-0008-1934</t>
  </si>
  <si>
    <t>1350-0872</t>
  </si>
  <si>
    <t>1465-2080</t>
  </si>
  <si>
    <t>MICROBIOL-SGM</t>
  </si>
  <si>
    <t>Microbiology-(UK)</t>
  </si>
  <si>
    <t>10.1099/mic.0.26610-0</t>
  </si>
  <si>
    <t>766DB</t>
  </si>
  <si>
    <t>WOS:000188329200021</t>
  </si>
  <si>
    <t>Verde, C; di Prisco, G</t>
  </si>
  <si>
    <t>Structure/function and phylogeny of hemoglobins of polar fishes</t>
  </si>
  <si>
    <t>MICRON</t>
  </si>
  <si>
    <t>13th International Conference on Invertebrate Dioxygen Binding Proteins</t>
  </si>
  <si>
    <t>SEP 07-12, 2003</t>
  </si>
  <si>
    <t>Univ Mainz, Mainz, GERMANY</t>
  </si>
  <si>
    <t>Univ Mainz</t>
  </si>
  <si>
    <t>Antarctic; Arctic; haemoglobin; cold adaptation; phylogeny</t>
  </si>
  <si>
    <t>The northern and southern polar oceans have very different oceanographic features. Taking advantage of the information available on haemoglobin structure and function, we analysed the evolutionary history of the alpha and beta globins of Antarctic and Arctic haemoglobins as a basis for reconstructing the phylogenetic relationships among species. (C) 2003 Elsevier Ltd. All rights reserved.</t>
  </si>
  <si>
    <t>CNR, Inst Prot Biochem, Via Marconi 12, I-80125 Naples, Italy.</t>
  </si>
  <si>
    <t>g.diprisco@ibp.cnr.it</t>
  </si>
  <si>
    <t>0968-4328</t>
  </si>
  <si>
    <t>Micron</t>
  </si>
  <si>
    <t>10.1016/j.micron.2003.10.023</t>
  </si>
  <si>
    <t>Microscopy</t>
  </si>
  <si>
    <t>778DG</t>
  </si>
  <si>
    <t>WOS:000189223400023</t>
  </si>
  <si>
    <t>Pütz, P; Glenz, S; Teipen, R; Tils, T; Honingh, N; Jacobs, K; Hedden, A; Kulesa, C; Groppi, CE; Walker, CK</t>
  </si>
  <si>
    <t>Zmuidzinas, J; Holland, WS; Withington, S</t>
  </si>
  <si>
    <t>High sensitivity 810 GHz SIS receivers at AST/RO</t>
  </si>
  <si>
    <t>MILLIMETER AND SUBMILLIMETER DETECTORS FOR ASTRONOMY II</t>
  </si>
  <si>
    <t>Conference on Millimeter and Submillimeter Detectors for Astronomy II</t>
  </si>
  <si>
    <t>JUN 23-25, 2004</t>
  </si>
  <si>
    <t>submillimeter; far-infrared; heterodyne; receiver; SIS; mixer; spectral lines; spectroscopy; ISM</t>
  </si>
  <si>
    <t>ANTARCTIC-SUBMILLIMETER-TELESCOPE</t>
  </si>
  <si>
    <t>In November 2003 the heterodyne receivers WANDA (polarization diplexed 492/810 GHz) and PoleSTAR (2 x 2 810 GHz array) of AST/RO (Antarctic Submillimeter Telescope and Remote Observatory, located at the South Pole) were upgraded with new 810 GHz SIS (Superconductor-Insulator-Superconductor) waveguide mixers from KOSMA. Profiting from device development for the HIFI (Heterodyne Instrument for the Far-Infrared) Band 2 SIS mixers of the Herschel Space Observatory, a factor of approximate to2 improvement in receiver noise temperature (from 1100K to 550K DSB) was achieved with WANDA. The SIS mixer devices employ low-loss NbTiN-Al tuning circuits and are fabricated using electron beam lithographic junction area definition and CMP (Chemical Mechanical Polishing) of the tuning circuit dielectric. With the South Pole being one of the best possible sites for ground-based submillimeter astronomy, the 1.7m telescope currently makes AST/RO well suited for sensitive, large scale spectral line mapping at 810 GHz. Low atmospheric opacity (T &lt; 1) and, consequently, very low system noise temperatures (&lt; 3000 K) are regularly achieved at 810 GHz, making AST/RO an extremely sensitive observatory at these frequencies. First light astronomical measurements made with the upgraded 810 GHz channel of WANDA towards the galactic HII region NGC 3576 in CO J = 7--&gt;6 (806.65 GHz) and the neutral carbon [CI] P-3(2)--&gt; P-3(1) (809.3GHz) lines are presented.</t>
  </si>
  <si>
    <t>Univ Cologne, Inst Phys 1, KOSMA, D-50937 Cologne, Germany</t>
  </si>
  <si>
    <t>University of Cologne</t>
  </si>
  <si>
    <t>Univ Cologne, Inst Phys 1, KOSMA, Zulpicher Str 77, D-50937 Cologne, Germany.</t>
  </si>
  <si>
    <t>puetz@ph1.uni-koeln.de; ahedden@as.arizona.edu</t>
  </si>
  <si>
    <t>Groppi, Christopher E/L-5284-2013; xin, xp/C-7350-2009; Pütz, Patrick S/L-7920-2017</t>
  </si>
  <si>
    <t>Pütz, Patrick S/0000-0003-3940-3715</t>
  </si>
  <si>
    <t>0-8194-5430-3</t>
  </si>
  <si>
    <t>10.1117/12.550894</t>
  </si>
  <si>
    <t>BBC37</t>
  </si>
  <si>
    <t>WOS:000224749800048</t>
  </si>
  <si>
    <t>Le Goff-Vitry, MC; Rogers, AD; Baglow, D</t>
  </si>
  <si>
    <t>A deep-sea slant on the molecular phylogeny of the Scleractinia</t>
  </si>
  <si>
    <t>MOLECULAR PHYLOGENETICS AND EVOLUTION</t>
  </si>
  <si>
    <t>Scleractinia; deep-sea corals; phylogeny; Lophelia; Madrepora; mitochondrial 16S rDNA; Indian ocean</t>
  </si>
  <si>
    <t>MITOCHONDRIAL; DNA; CNIDARIA; MODEL; EVOLUTION; INFERENCE; CORALS</t>
  </si>
  <si>
    <t>Lopheliapertusa and Madrepora oculata are azooxanthellate corals with nearly cosmopolitan distributions. They form cold-water reefs in the upper bathyal zone on continental margins and offshore banks [A.D. Rogers, Int. Rev. Hydrobiol. 84 (1999) 315]. Lophelia is classified in the family Caryophylliidae and Madrepora in the family Oculinidae, both on the basis of skeletal morphology. Recent molecular studies of the scleractinians have given a new insight into the evolutionary history of this group. This study was aimed at clarifying the phylogenetic relationships of Lophelia and Madrepora, through the analysis of partial sequences of the mitochondrial 16S rDNA. Sequences were obtained for samples of L. pertusa collected in the northeast Atlantic and off Brazil, M. oculata, four other deep-sea and eight tropical coral species from the Reunion island in the Indian Ocean. The sequences were aligned with 69 homologous sequences of Scleractinia. Maximum parsimony and Bayesian analyses support previously published molecular topologies. The two specimens of L. pertusa grouped with two caryophylliids, confirming the existing classification of the species, but the large genetic distance between the two Lophelia samples suggests that these populations are genetically isolated from one another. M. oculata did not cluster with oculinids, but formed a monotypic clade lying between the families Pocilloporidae and Caryophyliidae. Phylogenetic analysis also suggested cryptic speciation within the tropical taxa Pocillopora meandriana and possibly Acropora humilis. (C) 2003 Elsevier Science (USA). All rights reserved.</t>
  </si>
  <si>
    <t>Univ Southampton, Sch Ocean &amp; Earth Sci, Southampton Oceanog Ctr, Southampton SO14 3ZH, Hants, England; British Antarctic Survey, Cambridge CB3 0ET, England</t>
  </si>
  <si>
    <t>Univ Southampton, Sch Ocean &amp; Earth Sci, Southampton Oceanog Ctr, Southampton SO14 3ZH, Hants, England.</t>
  </si>
  <si>
    <t>Rogers, Alex David/0000-0002-4864-2980</t>
  </si>
  <si>
    <t>1055-7903</t>
  </si>
  <si>
    <t>1095-9513</t>
  </si>
  <si>
    <t>MOL PHYLOGENET EVOL</t>
  </si>
  <si>
    <t>Mol. Phylogenet. Evol.</t>
  </si>
  <si>
    <t>10.1016/S1055-7903(03)00162-3</t>
  </si>
  <si>
    <t>Biochemistry &amp; Molecular Biology; Evolutionary Biology; Genetics &amp; Heredity</t>
  </si>
  <si>
    <t>757XK</t>
  </si>
  <si>
    <t>WOS:000187586600015</t>
  </si>
  <si>
    <t>Skotnicki, ML; Mackenzie, A; Selkirk, PM</t>
  </si>
  <si>
    <t>Goffinet, B; Hollowell, V; Magill, R</t>
  </si>
  <si>
    <t>Mosses surviving on the edge: Origins, genetic diversity, and mutation in Antarctica</t>
  </si>
  <si>
    <t>MOLECULAR SYSTEMATICS OF BRYOPHYTES</t>
  </si>
  <si>
    <t>MONOGRAPHS IN SYSTEMATIC BOTANY FROM THE MISSOURI BOTANICAL GARDEN</t>
  </si>
  <si>
    <t>Symposium on Molecular Systematics of Bryophytes</t>
  </si>
  <si>
    <t>SEP, 2003</t>
  </si>
  <si>
    <t>Missouri Bot Garden, St Louis, MO</t>
  </si>
  <si>
    <t>Missouri Bot Garden</t>
  </si>
  <si>
    <t>Antarctica; bryophyte; genetic variation; Heard Island; Macquarie Island; moss; mutation</t>
  </si>
  <si>
    <t>SOUTHERN VICTORIA LAND; NUCLEAR RIBOSOMAL DNA; PHYLOGENETIC-RELATIONSHIPS; CRYPTIC SPECIATION; SARCONEURUM-GLACIALE; NUCLEOTIDE-SEQUENCE; BRYUM-ARGENTEUM; MOUNT RITTMANN; ROSS-ISLAND; TRNL-TRNF</t>
  </si>
  <si>
    <t>Mosses are the dominant plant species in continental Antarctica, where they sparsely colonize the limited stony coastal areas not permanently covered with snow and ice. The few species of mosses present in Antarctica live on the edge for plant life, surviving in sonic of the harshest conditions oil Earth with extremes of cold, drought, light, and wind. Reproduction is usually by local dispersal of vegetative propagules, and colonization of new locations is very difficult; immigration from other land masses appears infrequent. Moreover, in this region mosses are already exposed to increased levels of UV-B irradiation due to the Yearly, expansion of the ozone hole and global warming. We have been using techniques of molecular genetics (RAPDs and DNA sequencing) to investigate the biodiversity of Antarctic mosses, population relationships, dispersal and colonization. and mutation. We have also used genetics to determine the identity of some mosses that have proven difficult or impossible to characterize due to their phenotypic plasticity v in Antarctica. In addition, we have been able to demonstrate dispersal of different species by, either wind or water, and to show dispersal over very short distances of a few meters in frost channels. We have initiated investigation of mutagenesis in Antarctic mosses, both by studying relationships of shoots within individual colonies and by analyzing long shoots cut into small sections. For long shoots, where estimates of growth rates are 0.1-1 mm per year maximum, 10 cm shoots probably represent 100 years of growth. We have detected occasional mutations within Such shoots, as well as in different shoots of the same colony-the further shoots are apart within the colony, the more mutations we can detect. The combination of RAPDs and DNA sequencing is proving a powerful method for investigation of the mutation, evolution, and colonization of mosses in Antarctica, and we present here the novel results of our recent investigations.</t>
  </si>
  <si>
    <t>Australian Natl Univ, Inst Adv Studies, Res Sch Biol Sci, Genom Interact Grp, Canberra, ACT 2601, Australia</t>
  </si>
  <si>
    <t>Skotnicki, ML (corresponding author), Australian Natl Univ, Inst Adv Studies, Res Sch Biol Sci, Genom Interact Grp, GPO Box 4, Canberra, ACT 2601, Australia.</t>
  </si>
  <si>
    <t>mary.skotnicki@anu.edu.au</t>
  </si>
  <si>
    <t>BO BOX 299, ST LOUIS, MO 63166 USA</t>
  </si>
  <si>
    <t>0161-1542</t>
  </si>
  <si>
    <t>1-930723-38-5</t>
  </si>
  <si>
    <t>MONOG SYST BOTAN</t>
  </si>
  <si>
    <t>Monogr. Syst. Botany Mo. Bot. Gard.</t>
  </si>
  <si>
    <t>BCE82</t>
  </si>
  <si>
    <t>WOS:000228941800019</t>
  </si>
  <si>
    <t>Yoshitomi, B</t>
  </si>
  <si>
    <t>Sakaguchi, M</t>
  </si>
  <si>
    <t>Utilization of antarctic krill for food and feed</t>
  </si>
  <si>
    <t>MORE EFFICIENT UTILIZATION OF FISH AND FISHERIES PRODUCTS</t>
  </si>
  <si>
    <t>DEVELOPMENTS IN FOOD SCIENCE</t>
  </si>
  <si>
    <t>International Symposium on More Efficient Utilization of Fish and Fisheries Products</t>
  </si>
  <si>
    <t>OCT 07-10, 2001</t>
  </si>
  <si>
    <t>Kyoto, JAPAN</t>
  </si>
  <si>
    <t>MYOFIBRILLAR CA-ATPASE; EUPHAUSIA-SUPERBA DANA; TRYPSIN-LIKE ENZYMES; SERINE PROTEINASES; CHEMISTRY; PLANKTON</t>
  </si>
  <si>
    <t>The catchable stock of krill is estimated at more than 10 million tons per year. As for food shortage, because of an increase in the world population, krill is expected to be the last marine resource remained in the world. However, the annual krill catch amounts to only about 80 thousand tons. Many researchers have been studying on the utilization of krill for a long time, but even now the main use of krill is limited to fish feed for aquaculture and bait for leisure fishing. Unfortunately, we can not find any high-value-added krill products in market at present. Considering the low utilization of krill, krill digestive protease was an obstacle for its food processing. Since the protease is highly intensive, it is easy to digest its muscle protein rapidly. Therefore, many researchers have thus tried to inhibit and to remove the protease in order to keep the muscle protein intact. But they have not found effective way keeping the muscle intact. On the other hand, for some medical uses, krill protease is going to play an important part; for example, it would be effective for bedsore remedy and for skin cancer. It would be another way to utilize krill.</t>
  </si>
  <si>
    <t>Nippon Suisan Kaisha Ltd, Cent Res Lab, Hachioji, Tokyo 1920906, Japan</t>
  </si>
  <si>
    <t>Nippon Suisan Kaisha, Ltd.</t>
  </si>
  <si>
    <t>Yoshitomi, B (corresponding author), Nippon Suisan Kaisha Ltd, Cent Res Lab, 559-6 Kitano Machi, Hachioji, Tokyo 1920906, Japan.</t>
  </si>
  <si>
    <t>0167-4501</t>
  </si>
  <si>
    <t>0-08-044450-4</t>
  </si>
  <si>
    <t>DEV FOOD SCI</t>
  </si>
  <si>
    <t>Fisheries; Food Science &amp; Technology</t>
  </si>
  <si>
    <t>BAR68</t>
  </si>
  <si>
    <t>WOS:000223277700004</t>
  </si>
  <si>
    <t>Brown, IM; Wharton, DA; Millar, RB</t>
  </si>
  <si>
    <t>The influence of temperature on the life history of the Antarctic nematode Panagrolaimus davidi</t>
  </si>
  <si>
    <t>NEMATOLOGY</t>
  </si>
  <si>
    <t>intrinsic rate of natural increase; population growth; r-K-A selection; thermal time; threshold temperatures</t>
  </si>
  <si>
    <t>POPULATION-GROWTH; ECOLOGICAL STRATEGIES; TERRESTRIAL NEMATODES; FREEZING TOLERANCE; THERMAL TIME; ROSS ISLAND; CYCLE; INVERTEBRATES; HABITAT</t>
  </si>
  <si>
    <t>Panagrolaimus davidi is a free-living microbivore, associated with moss and algal patches in coastal regions around Ross Island, Antarctica. In laboratory experiments, temperature had a major influence on P. davidi life history parameters. The optimal temperature occurred between 25 and 30 degrees C and the temperature at which population growth ceased was estimated at 6.8 degrees C. Threshold temperatures for developmental processes were in the range 4.1 degrees C (for egg incubation) to 7.6 degrees C (for generation time). The life history strategy of P. davidi shows r-selected features and is more similar to temperate free-living nematodes than to other polar species, which show K-selected features. In the Antarctic, P. davidi is forced to remain dormant for long periods and growth occurs intermittently when conditions allow, suggesting A selection. The life history of P. davidi thus exhibits both A and r-selected features.</t>
  </si>
  <si>
    <t>Univ Otago, Dept Zool, Dunedin, New Zealand; Georgia SW State Univ, Dept Biol, Americus, GA 31709 USA; Univ Auckland, Dept Stat, Auckland 1, New Zealand</t>
  </si>
  <si>
    <t>University of Otago; University of Auckland</t>
  </si>
  <si>
    <t>Univ Otago, Dept Zool, POB 56, Dunedin, New Zealand.</t>
  </si>
  <si>
    <t>david.wharton@stonebow.otago.ac.nz</t>
  </si>
  <si>
    <t>Millar, Russell B/D-3528-2009</t>
  </si>
  <si>
    <t>Wharton, David/0000-0001-6369-4984</t>
  </si>
  <si>
    <t>BRILL</t>
  </si>
  <si>
    <t>LEIDEN</t>
  </si>
  <si>
    <t>PLANTIJNSTRAAT 2, P O BOX 9000, 2300 PA LEIDEN, NETHERLANDS</t>
  </si>
  <si>
    <t>1388-5545</t>
  </si>
  <si>
    <t>Nematology</t>
  </si>
  <si>
    <t>10.1163/1568541044038641</t>
  </si>
  <si>
    <t>943WS</t>
  </si>
  <si>
    <t>WOS:000230386600009</t>
  </si>
  <si>
    <t>Storey, JWV</t>
  </si>
  <si>
    <t>Traub, WA</t>
  </si>
  <si>
    <t>Antarctica: the potential for interferometry</t>
  </si>
  <si>
    <t>NEW FRONTIERS IN STELLAR INTERFEROMETRY, PTS 1-3</t>
  </si>
  <si>
    <t>Conference on New Frontiers in Stellar Interferometry</t>
  </si>
  <si>
    <t>interferometry; Antarctica; site-testing</t>
  </si>
  <si>
    <t>SOUTH-POLE</t>
  </si>
  <si>
    <t>The perfect site for astronomical interferometry would be one where the wind speeds throughout the atmosphere were very low, there was little atmospheric turbulence (especially at high altitudes), the seismic activity was negligible and the climate very stable. Perhaps surprisingly, these conditions describe the Antarctic plateau perfectly. At Dome C, for example, the average wind speed at ground level is just 2.7 metres/sec. This, combined with low wind speeds at all altitudes up to the stratosphere, leads to a dramatic increase in coherence times. Despite the extreme cold, the Antarctic plateau is a relatively benign environment. At thermal infrared wavelengths the high elevation (typically over 3000 m), intense cold and exceptional dryness also combine to give greatly increased background-limited sensitivities relative to other sites. This increased sensitivity can be used to further enhance interferometer performance, or can be traded against mirror size to allow for a smaller instrument of the same sensitivity.</t>
  </si>
  <si>
    <t>Storey, JWV (corresponding author), Univ New S Wales, Sch Phys, Sydney, NSW 2052, Australia.</t>
  </si>
  <si>
    <t>0-8194-5423-0</t>
  </si>
  <si>
    <t>10.1117/12.548838</t>
  </si>
  <si>
    <t>Instruments &amp; Instrumentation; Optics; Imaging Science &amp; Photographic Technology</t>
  </si>
  <si>
    <t>BBG18</t>
  </si>
  <si>
    <t>WOS:000225390000020</t>
  </si>
  <si>
    <t>Swain, MR; Walker, CK; Traub, WA; Storey, JW; du Foresto, VC; Fossat, E; Vakili, F; Stark, AA; Lloyd, JP; Lawson, PR; Burrows, AS; Ireland, M; Millan-Gabet, R; van Belle, GT; Lane, B; Vasisht, G; Travouillon, T</t>
  </si>
  <si>
    <t>The Antarctic planet interferometer</t>
  </si>
  <si>
    <t>interferometer; infrared; Antarctica; exoplanets</t>
  </si>
  <si>
    <t>ACTIVE GALACTIC NUCLEI; EXTRASOLAR GIANT PLANETS; PALOMAR TESTBED INTERFEROMETER; HIGH-SPATIAL-RESOLUTION; HERBIG AE/BE STARS; INFRARED OBSERVATIONS; SECONDARY ECLIPSE; SEYFERT-GALAXIES; LINE REGION; HD 209458B</t>
  </si>
  <si>
    <t>The Antarctic Planet Interferometer is a concept for an instrument designed to detect and characterize extrasolar planets by exploiting the unique potential of the best accessible site on earth for thermal infrared interferometry. High-precision interferometric techniques under development for extrasolar planet detection and characterization (differential phase, nulling and astrometry) all benefit substantially from the slow, low-altitude turbulence, low water vapor content, and low temperature found on the Antarctic plateau. At the best of these locations, such as the Concordia base being developed at Dome C, an interferometer with two-meter diameter class apertures has the potential to deliver unique science for a variety of topics, including extrasolar planets, active galactic nuclei, young stellar objects, and protoplanetary disks.</t>
  </si>
  <si>
    <t>California Institute of Technology; National Aeronautics &amp; Space Administration (NASA); NASA Jet Propulsion Laboratory (JPL)</t>
  </si>
  <si>
    <t>Swain, MR (corresponding author), CALTECH, Jet Prop Lab, 4800 Oak Grove Dr, Pasadena, CA 91109 USA.</t>
  </si>
  <si>
    <t>Lloyd, James P/B-3769-2011; van Belle, Gerard/ABE-1321-2021; Vasisht, Gautam/AAP-3022-2020</t>
  </si>
  <si>
    <t>van Belle, Gerard/0000-0002-8552-158X; Vasisht, Gautam/0000-0002-1871-6264; Ireland, Michael/0000-0002-6194-043X; Lane, Benjamin/0000-0002-8006-0243; Millan-Gabet, Rafael/0000-0003-0447-5866; Burrows, Adam/0000-0002-3099-5024; Travouillon, Tony/0000-0001-9304-6718</t>
  </si>
  <si>
    <t>10.1117/12.552221</t>
  </si>
  <si>
    <t>WOS:000225390000021</t>
  </si>
  <si>
    <t>du Foresto, VC; Swain, M; Vakili, F; Schneider, J</t>
  </si>
  <si>
    <t>Exoplanet spectroscopy from the Antarctic plateau</t>
  </si>
  <si>
    <t>exoplanets; interferometry; antarctic plateau</t>
  </si>
  <si>
    <t>INTERFEROMETER; ATMOSPHERE; IOTA</t>
  </si>
  <si>
    <t>We propose a science demonstrator for the Antarctic Plateau Interferometer. It is a comparatively much simpler system than API but dedicated to the goal of obtaining the first low-resolution spectra in the thermal infrared of a few hot Jupiter type exoplanets. It would provide a unique platform to acquire operational experience on antarctic stellar interferometry, and build up an extensive database on the relevant site properties, as a preparation for API.</t>
  </si>
  <si>
    <t>Observ Paris, LESIA, F-92190 Meudon, France</t>
  </si>
  <si>
    <t>Universite PSL; Observatoire de Paris</t>
  </si>
  <si>
    <t>Observ Paris, LESIA, F-92190 Meudon, France.</t>
  </si>
  <si>
    <t>10.1117/12.553010</t>
  </si>
  <si>
    <t>WOS:000225390000022</t>
  </si>
  <si>
    <t>Lloyd, JP</t>
  </si>
  <si>
    <t>Optical turbulence in the Antarctic atmosphere</t>
  </si>
  <si>
    <t>turbulence; seeing; adaptive optics; interferometry; Antarctica</t>
  </si>
  <si>
    <t>ADAPTIVE OPTICS; SCIENCE</t>
  </si>
  <si>
    <t>Turbulence in the earth's atmosphere severely limits the resolution and sensitivity of astronomical observations. The vertical distribution of turbulence in the atmosphere has a profound effect on the residuals after correction by an active instrument such as adaptive optics or a fringe tracking interferometer. It has already been shown that the South Pole has turbulence profiles unlike those at any other site, dominated by ground layer turbulence, with low free air seeing. This paper examines the meteorology, climatology and atmospheric physics that produces these conditions. Combining meterological observations at remote sites with models of atmospheric turbulence allows quantitative extrapolation to the likely conditions at sites now under development and consideration that may provide the ultimate ground based site for near and mid-infrared interferometry. The high plateau sites in Antarctica will likely enable complete sky coverage for adaptive optics and interferometry in the near infrared with natural guide stars.</t>
  </si>
  <si>
    <t>Cornell Univ, Ithaca, NY 14853 USA</t>
  </si>
  <si>
    <t>Cornell University</t>
  </si>
  <si>
    <t>Lloyd, JP (corresponding author), Cornell Univ, Ithaca, NY 14853 USA.</t>
  </si>
  <si>
    <t>jpl@astro.cornell.edu</t>
  </si>
  <si>
    <t>Lloyd, James P/B-3769-2011</t>
  </si>
  <si>
    <t>10.1117/12.552226</t>
  </si>
  <si>
    <t>WOS:000225390000023</t>
  </si>
  <si>
    <t>Quirrenbach, A</t>
  </si>
  <si>
    <t>Design considerations for an extremely large synthesis array</t>
  </si>
  <si>
    <t>Optical Interferometry; aperture synthesis; telescopes; fiber optics; Brown Dwarfs; stellar atmospheres; stellar surfaces; circumstellar disks; Black Holes; active galactic nuclei; gamma-ray bursts</t>
  </si>
  <si>
    <t>HIGH-ANTARCTIC PLATEAU; OPTICAL INTERFEROMETER</t>
  </si>
  <si>
    <t>An Extremely Large Synthesis Array (ELSA) with 27 ten-meter telescopes and baseline lengths up to 10km would provide completely new insight into many astrophysics phenomena. It could be used to obtain resolved images of nearby brown dwarfs which would reveal weather phenomena in their atmospheres, to give detailed pictures of stellar surfaces, interacting binaries, and circumstellar material, to study general-relativistic effects on the orbits of stars near the center of our Galaxy, to obtain movies of expanding supernovae, to image the broad-line regions of active galaxies, and to measure the geometry of the fireballs producing the afterglow of gamma-ray bursts. Observations of faint objects will be possible by using an external reference star (within the isoplanatic angle) to co-phase the array. Telescopes with large diameters are essential to provide good sky coverage in this observing mode. The use of optical fibers for beam transport and delay compensation is highly desirable, as this eliminates the need for an expensive beam train with meter-sized optical elements, and a very large vacuum system. The most challenging aspect of fiber-coupled interferometry is dispersion in the fibers, which has to be eliminated or compensated precisely. Advances in telescope technology and fiber optics expected for the next decade may bring the cost of a facility similar to the ELSA concept discussed here into a range that would be affordable as an international project.</t>
  </si>
  <si>
    <t>Leiden Univ, Sterrewacht Leiden, NL-2300 RA Leiden, Netherlands</t>
  </si>
  <si>
    <t>Leiden University; Leiden University - Excl LUMC</t>
  </si>
  <si>
    <t>Quirrenbach, A (corresponding author), Leiden Univ, Sterrewacht Leiden, POB 9513, NL-2300 RA Leiden, Netherlands.</t>
  </si>
  <si>
    <t>Quirrenbach, Andreas/0000-0002-3302-1962</t>
  </si>
  <si>
    <t>10.1117/12.550790</t>
  </si>
  <si>
    <t>WOS:000225390000166</t>
  </si>
  <si>
    <t>Bridge, PD; Spooner, BM; Roberts, PJ</t>
  </si>
  <si>
    <t>Reliability and use of published sequence data</t>
  </si>
  <si>
    <t>NEW PHYTOLOGIST</t>
  </si>
  <si>
    <t>DNA; sequences; validity; DNA sequence databases; SSU sequences</t>
  </si>
  <si>
    <t>Royal Bot Gardens, Mycol Sect, Richmond TW9 3AB, Surrey, England; Univ London Birkbeck Coll, Sch Biol &amp; Chem Sci, London WC1E 7HX, England</t>
  </si>
  <si>
    <t>Royal Botanic Gardens, Kew; University of London; Birkbeck University London</t>
  </si>
  <si>
    <t>0028-646X</t>
  </si>
  <si>
    <t>1469-8137</t>
  </si>
  <si>
    <t>NEW PHYTOL</t>
  </si>
  <si>
    <t>New Phytol.</t>
  </si>
  <si>
    <t>755PJ</t>
  </si>
  <si>
    <t>WOS:000187417700006</t>
  </si>
  <si>
    <t>Said, MA</t>
  </si>
  <si>
    <t>Jones, WV</t>
  </si>
  <si>
    <t>Special considerations for qualifying thin films for super pressure pumpkin ultra long duration balloon missions</t>
  </si>
  <si>
    <t>NEXT GENERATION IN SCIENTIFIC BALLOONING</t>
  </si>
  <si>
    <t>scientific ballooning; super pressure pumpkin; ultra long duration ballon missions; balloon films; thin polymeric films</t>
  </si>
  <si>
    <t>The assessment of creep and dynamic response behaviors on materials intended for ultra long duration balloon (ULDB) applications is essential. The first provides needed information for design and fabrication. The second ensures that the film is sufficiently tough to survive the dynamic events during launch and ascent. Characterization and assessment of these two important parameters are discussed in this paper. Visco-elastic behavior of materials in a loaded structure, such as the ULDB film change their geometry significantly over time under load causing possible changes in the load path and the stress distribution. These changes must be held in check to satisfy the functional requirements of the structure over its service life. Typically, the balloon experiences during its service life various environmental conditions each with a different creep response. These are characterized by a simplified load temperature history for the purpose of lifetime response assessment. At mid-latitudes a significant portion of the service life is spent at night, i.e., at low temperature and low load; for the ULDB film this night-time contribution to creep is negligible. By contrast, flight exposure in an Antarctic summer is at an almost constant high temperature and corresponding high pressure. This paper presents the creep behavior of the ULDB film as a function of load, temperature, and time along with an overview of its implementation in the design. In addition, it presents a quantitative assessment on the toughness of the material under dynamic Snatch loading. (C) 2004 COSPAR. Published by Elsevier Ltd. All rights reserved.</t>
  </si>
  <si>
    <t>NASA, Goddard Space Flight Ctr, Wallops Flight Facil, Wallops Isl, VA 23337 USA</t>
  </si>
  <si>
    <t>National Aeronautics &amp; Space Administration (NASA); NASA Goddard Space Flight Center; Wallops Flight Facility</t>
  </si>
  <si>
    <t>Said, MA (corresponding author), NASA, Goddard Space Flight Ctr, Wallops Flight Facil, Mail Code 820, Wallops Isl, VA 23337 USA.</t>
  </si>
  <si>
    <t>magdi.a.said@nasa.gov</t>
  </si>
  <si>
    <t>10.1016/j.asr.2003.10.032</t>
  </si>
  <si>
    <t>BAI27</t>
  </si>
  <si>
    <t>WOS:000222365800020</t>
  </si>
  <si>
    <t>Benoît, A</t>
  </si>
  <si>
    <t>Archeops Collaboration</t>
  </si>
  <si>
    <t>ARCHEOPS:: a balloon experiment for measuring the cosmic microwave background anisotropies</t>
  </si>
  <si>
    <t>scientific ballooning; cosmic microwave background anisotropies</t>
  </si>
  <si>
    <t>ANGULAR POWER SPECTRUM; HIGH-RESOLUTION; BOOMERANG</t>
  </si>
  <si>
    <t>The ARCHEOPS experiment has measured the anisotropies of the cosmic microwave background at angular scales from 10' up to 20degrees. For this, we use a 1.5 m telescope pointing at 49 from its vertical axis on board a stratospheric gondola. By spinning the gondola, a large fraction of the sky is covered when the Earth rotation makes the swept circle drift across the celestial sphere. This is only possible if the observations are done during the Arctic or Antarctic night when the Sun does not disturb the measurements. Another condition is to have very sensitive and fast detectors in the millimeter and submillimeter domain (high frequency radio domain of a few 100 GHz), where the 3 K radiation dominates the sky emission. This is achieved by cooling the bolometers with a. dilution refrigerator, to a temperature of 0.1 K. The experiment has been launched four times by the CNES from the Swedish base of Esrange, near Kiruna. The two main flights ended in Russia with landings in Siberia, with the last one having a 19 h flight at float. The control of the experiment was done with satellite communication and the data were stored onboard. This experiment results from an international collaboration, including the USA (detectors and mirror), the UK (cold optics), Italy (gondola, pivot and star sensor) and France (cryogenics, electronics, instrument integration and operation). It is a precursor for the PLANCK satellite and the HFI instrument in many aspects: telescope, bolometers, cold optics, open cycle dilution refrigerator that provides the 0.1 K temperature, scanning strategy, and data processing. (C) 2004 COSPAR. Published by Elsevier Ltd. All rights reserved.</t>
  </si>
  <si>
    <t>CNRS, Ctr Rech Tres Basses Temp, F-38042 Grenoble 9, France</t>
  </si>
  <si>
    <t>CNRS, Ctr Rech Tres Basses Temp, 25 Ave Martyrs,BP 166, F-38042 Grenoble 9, France.</t>
  </si>
  <si>
    <t>benoit@grenoble.cnrs.fr</t>
  </si>
  <si>
    <t>10.1016/j.asr.2003.05.021</t>
  </si>
  <si>
    <t>WOS:000222365800035</t>
  </si>
  <si>
    <t>Zimmermann, WB; Rees, JM</t>
  </si>
  <si>
    <t>Long solitary internal waves in stable stratifications</t>
  </si>
  <si>
    <t>NONLINEAR PROCESSES IN GEOPHYSICS</t>
  </si>
  <si>
    <t>NONLINEAR-WAVES; SUPERPOSED STREAMS; GRAVITY-WAVES; STABILITY; MODEL</t>
  </si>
  <si>
    <t>Observations of internal solitary waves over an antarctic ice shelf (Rees and Rottman, 1994) demonstrate that even large amplitude disturbances have wavelengths that are bounded by simple heuristic arguments following from the Scorer parameter based on linear theory for wave trapping. Classical weak nonlinear theories that have been applied to stable stratifications all begin with perturbations of simple long waves, with corrections for weak nonlinearity and dispersion resulting in nonlinear wave equations (Korteweg-deVries (KdV) or Benjamin-Davis-Ono) that admit localized propagating solutions. It is shown that these theories are apparently inappropriate when the Scorer parameter, which gives the lowest wavenumber that does not radiate vertically, is positive. In this paper, a new nonlinear evolution equation is derived for an arbitrary wave packet thus including one bounded below by the Scorer parameter. The new theory shows that solitary internal waves excited in hi-h Richardson number waveguides are predicted to have a halfwidth inversely proportional to the Scorer parameter, in agreement with atmospheric observations. A localized analytic solution for the new wave equation is demonstrated, and its soliton-like properties are demonstrated by numerical simulation.</t>
  </si>
  <si>
    <t>Univ Sheffield, Dept Chem &amp; Proc Engn, Sheffield S1 3JD, S Yorkshire, England; Univ Sheffield, Dept Appl Math, Sheffield S3 7RH, S Yorkshire, England</t>
  </si>
  <si>
    <t>University of Sheffield; University of Sheffield</t>
  </si>
  <si>
    <t>Univ Sheffield, Dept Chem &amp; Proc Engn, Sheffield S1 3JD, S Yorkshire, England.</t>
  </si>
  <si>
    <t>w.zimmerman@shef.ac.uk</t>
  </si>
  <si>
    <t>Zimmerman, William B/AAG-5900-2020</t>
  </si>
  <si>
    <t>Zimmerman, William B/0000-0001-7123-737X; Rees, Julia/0000-0002-6266-5708</t>
  </si>
  <si>
    <t>1023-5809</t>
  </si>
  <si>
    <t>1607-7946</t>
  </si>
  <si>
    <t>NONLINEAR PROC GEOPH</t>
  </si>
  <si>
    <t>Nonlinear Process Geophys.</t>
  </si>
  <si>
    <t>10.5194/npg-11-165-2004</t>
  </si>
  <si>
    <t>Geosciences, Multidisciplinary; Mathematics, Interdisciplinary Applications; Meteorology &amp; Atmospheric Sciences; Physics, Fluids &amp; Plasmas</t>
  </si>
  <si>
    <t>Geology; Mathematics; Meteorology &amp; Atmospheric Sciences; Physics</t>
  </si>
  <si>
    <t>821OQ</t>
  </si>
  <si>
    <t>WOS:000221471600002</t>
  </si>
  <si>
    <t>Kaye, SB</t>
  </si>
  <si>
    <t>Territorial sea baselines along ice-covered coasts: International practice and limits of the law of the sea</t>
  </si>
  <si>
    <t>OCEAN DEVELOPMENT AND INTERNATIONAL LAW</t>
  </si>
  <si>
    <t>This article considers the relevant international law pertaining to territorial sea baselines and reviews the application of that law to ice-covered coasts. The international literature concerning the status of ice in international law is examined and state practice for both the Arctic and Antarctic is reviewed. The Law of the Sea Convention contains virtually no provisions pertaining to ice, as during its negotiation, in an effort to reach a consensus, all discussion of Antarctica was avoided. International lawyers appear to favour the notion that where ice persists for many years and is fixed to land or at least is connected to ice that is connected to land, it may be able to generate territorial sea baselines. Neither the International Court of Justice nor any other international tribunal has had the opportunity to consider the status of ice, except in the most general terms. This article considers some alternatives and difficulties in their application. The impact of the Antarctic Treaty on any system is also considered, as Articles IV and VI of the Treaty may be affected by any international action by claimants in proclaiming baselines.</t>
  </si>
  <si>
    <t>Univ Wollongong, Fac Law, Wollongong, NSW 2522, Australia</t>
  </si>
  <si>
    <t>Kaye, SB (corresponding author), Univ Wollongong, Fac Law, Wollongong, NSW 2522, Australia.</t>
  </si>
  <si>
    <t>skaye@uow.edu.au</t>
  </si>
  <si>
    <t>Kaye, Stuart/AAA-1778-2019</t>
  </si>
  <si>
    <t>Kaye, Stuart/0000-0003-4498-5537</t>
  </si>
  <si>
    <t>0090-8320</t>
  </si>
  <si>
    <t>1521-0642</t>
  </si>
  <si>
    <t>OCEAN DEV INT LAW</t>
  </si>
  <si>
    <t>Ocean Dev. Int. Law</t>
  </si>
  <si>
    <t>10.1080/00908320490264391</t>
  </si>
  <si>
    <t>International Relations; Law</t>
  </si>
  <si>
    <t>International Relations; Government &amp; Law</t>
  </si>
  <si>
    <t>763NE</t>
  </si>
  <si>
    <t>WOS:000188091600004</t>
  </si>
  <si>
    <t>Timmermann, R; Beckmann, A</t>
  </si>
  <si>
    <t>Parameterization of vertical mixing in the Weddell Sea</t>
  </si>
  <si>
    <t>OCEAN MODELLING</t>
  </si>
  <si>
    <t>coupled sea ice-ocean model; vertical mixing; parameterization of convection; Southern Ocean; Weddell Sea</t>
  </si>
  <si>
    <t>ANTARCTIC BOTTOM WATER; ONE-DIMENSIONAL MODEL; GLOBAL OCEAN MODEL; SOUTHERN-OCEAN; FRESH-WATER; DEEP CONVECTION; ICE MODEL; CIRCULATION; SENSITIVITY</t>
  </si>
  <si>
    <t>A series of vertical mixing schemes implemented in a circumpolar Coupled ice-ocean model of the BRIOS family is validated against observations of hydrography and sea ice coverage in the Weddell Sea. Assessed parameterizations include the Richardson number-dependent Pacanowski-Philander scheme, the Mellor-Yamada turbulent closure scheme, the K-profile parameterization, a bulk mixed layer model and the ocean penetrative plume scheme (OPPS). Combinations of the Pacanowski-Philander parameterization or the OPPS with a simple diagnostic model depending on the Monin-Obukhov length yield particularly good results. In contrast, experiments using a constant diffusivity and the traditional convective adjustment cannot reproduce the observations. An underestimation of wind-driven mixing in summer leads to an accumulation of salt in the winter water layer, inducing deep convection in the central Weddell Sea and a homogenization of the water column. Large upward heat fluxes in these simulations lead to the formation of unrealistic, large polynyas in the central Weddell Sea after only a few years of integration. Furthermore, spurious open-ocean convection affects the basin-scale circulation and leads to a significant overestimation of meridional overturning rates. We conclude that an adequate parameterization of both wind-induced mixing and buoyancy-driven convection is crucial for realistic simulations of processes in seasonally ice-covered seas. (C) 2003 Elsevier Science Ltd. All rights reserved.</t>
  </si>
  <si>
    <t>Timmermann, R (corresponding author), Univ Catholique Louvain, Inst Astron &amp; Geophys Georges Lemaitre, Chemin Cyclotron 2, B-1348 Louvain, Belgium.</t>
  </si>
  <si>
    <t>Losch, Martin/S-5896-2016</t>
  </si>
  <si>
    <t>Losch, Martin/0000-0002-3824-5244</t>
  </si>
  <si>
    <t>1463-5003</t>
  </si>
  <si>
    <t>OCEAN MODEL</t>
  </si>
  <si>
    <t>Ocean Model.</t>
  </si>
  <si>
    <t>10.1016/S1463-5003(02)00061-6</t>
  </si>
  <si>
    <t>728ZK</t>
  </si>
  <si>
    <t>WOS:000185746100004</t>
  </si>
  <si>
    <t>Ferron, B; Treguier, AM; Mercier, H</t>
  </si>
  <si>
    <t>Modelling of the bottom water flow through the Romanche Fracture Zone with a primitive equation model - Part 2: Comparison of vertical mixing parameterisations with observations</t>
  </si>
  <si>
    <t>mixing; parameterisation; topography; hydraulic control</t>
  </si>
  <si>
    <t>KINETIC-ENERGY MODEL; ATLANTIC-OCEAN; LAYER; PARAMETERIZATION; ENTRAINMENT; VARIABILITY; TOPOGRAPHY; DYNAMICS; OUTFLOW; STRAIT</t>
  </si>
  <si>
    <t>Three parameterisations of the vertical mixing of a primitive equation model that uses a geopotential coordinate system are tested against observations in the context of the Antarctic Bottom Water flow through the Romanche Fracture Zone. On an increasing complexity scale, the three parameterisations are a convection algorithm, a vertical diffusivity depending on a Richarson number, and a vertical diffusivity calculated from a turbulent kinetic energy (TKE) equation. The model uses a high vertical and horizontal resolution. It is shown that the convection algorithm does not produce enough vertical mixing compared to observations. This results in the propagation of a too dense water mass in the downstream basin. On the opposite, the Richardson number-dependent algorithm as well as the TKE algorithm produce a mixing comparable to the observations. With these two parameterisations, the main region of intensification of the vertical mixing is located downstream of the main sill that was also described as the major region of turbulence from observations. The mixing length of the TKE parameterisation is consistent with calculation of Thorpe scales from the fine structure of CTD data. Hence, the two successful parameterisations initially designed for the surface mixed layer also give satisfying results for overflows as soon as the hydraulic control and its associated downstream intensified vertical shear are correctly represented in the model. (C) 2003 Elsevier Ltd. All rights reserved.</t>
  </si>
  <si>
    <t>IFREMER, Lab Phys Oceans, UMR 6523, CNRS,UBO, Brest, France</t>
  </si>
  <si>
    <t>Centre National de la Recherche Scientifique (CNRS); CNRS - National Institute for Earth Sciences &amp; Astronomy (INSU); Universite de Bretagne Occidentale; Ifremer; Institut de Recherche pour le Developpement (IRD)</t>
  </si>
  <si>
    <t>Ferron, B (corresponding author), IFREMER, DRO, LPO, BP 70, F-29280 Plouzane, France.</t>
  </si>
  <si>
    <t>FERRON, Bruno/JCE-4144-2023; Treguier, Anne Marie/B-7497-2009; FERRON, Bruno/L-5649-2015; MERCIER, Herle/L-4161-2015</t>
  </si>
  <si>
    <t>FERRON, Bruno/0000-0002-2107-0900; MERCIER, Herle/0000-0002-1940-617X; Treguier, Anne Marie/0000-0003-4569-845X</t>
  </si>
  <si>
    <t>10.1016/S1463-5003(03)00024-6</t>
  </si>
  <si>
    <t>725RU</t>
  </si>
  <si>
    <t>WOS:000185556800004</t>
  </si>
  <si>
    <t>Marsden, RRG</t>
  </si>
  <si>
    <t>Morcos, S</t>
  </si>
  <si>
    <t>Discovery committee work in the southern ocean (1925-39) - Scientific? Economic? Political?</t>
  </si>
  <si>
    <t>OCEAN SCIENCES BRIDGING THE MILLENNIA: A SPECTRUM OF HISTORICAL ACCOUNTS</t>
  </si>
  <si>
    <t>6th International Congress on the History of Oceanography</t>
  </si>
  <si>
    <t>AUG 15-20, 1998</t>
  </si>
  <si>
    <t>Qingdao, PEOPLES R CHINA</t>
  </si>
  <si>
    <t>Antarctic; discovery; Falklands; Pacific; whaling; William Scoresby</t>
  </si>
  <si>
    <t>The Discovery Committee was set up by the British Colonial Office in 1923 to support scientific research in an attempt to conserve the whaling industry. The research, funded by a tax on whale oil produced in the Falkland Islands Dependencies, was originally confined to the South Atlantic Sector of the Southern Ocean. From 1931 onwards the Cominittee ' s ships, the Discovery II and the William Scoresby, worked in the Pacific and Indian Ocean sectors as well. This paper, based largely on the Committee ' s records, examines the views and actions of the Committee as shown in their papers. It gives the scientific, econonuic and political considerations that influenced the Committee during the 1930s. The complicated relations between the Committee, British authorities, the Southern Dominions and the whaling industry together with the basically scientific bent of the Committee, resulted in much fundamental oceanographic work but little towards their original hopes for the conservation of whales.</t>
  </si>
  <si>
    <t>UNESCO</t>
  </si>
  <si>
    <t>7 PLACE DE FONTENOY, 75352 PARIS, FRANCE</t>
  </si>
  <si>
    <t>92-3-103936-9</t>
  </si>
  <si>
    <t>History &amp; Philosophy Of Science</t>
  </si>
  <si>
    <t>Conference Proceedings Citation Index - Social Science &amp; Humanities (CPCI-SSH)</t>
  </si>
  <si>
    <t>History &amp; Philosophy of Science</t>
  </si>
  <si>
    <t>BBU68</t>
  </si>
  <si>
    <t>WOS:000227914300007</t>
  </si>
  <si>
    <t>Chen, HW</t>
  </si>
  <si>
    <t>Marine microbiological research in China (1950-1990)</t>
  </si>
  <si>
    <t>marine microbiology; environmental nuicrobiology; diseases of aquatic organisms; marine yeasts; microbial corrosion</t>
  </si>
  <si>
    <t>The forty years under consideration of marine Microbiological research in China can be divided into three successive periods: (i) 1950-1965 - after the creation of the Peoples' Republic of China up to the year before the start of the Cultural Revolution; (11) 1966-1976 - a dormant period in marine microbiological research, during which few national organizations or other bodies participated in research and no publications exist on what, if anything, was studied; and (iii) 1977-1990 (beginning one year before China adopted its policy of reform and opening up) - marked by a very noticeable increase of information as a result of a larger body of researchers, who were prolific in the production of publications. The eight main research areas covered include: pollution, environmental (sanitary) microbiology, prevention and control of agricultural diseases, photobacteria, mineral resources and metal corrosion, marine yeasts (molds), as well as Antarctic and general marine microbiology. Academic activities and exchanges are also described.</t>
  </si>
  <si>
    <t>SOA, Inst Oceanog 1, Qingdao 266061, Peoples R China</t>
  </si>
  <si>
    <t>First Institute of Oceanography, Ministry of Natural Resources</t>
  </si>
  <si>
    <t>WOS:000227914300032</t>
  </si>
  <si>
    <t>Lukashina, NP</t>
  </si>
  <si>
    <t>Paleogene paleoceanology of the North Atlantic from benthic foraminifera</t>
  </si>
  <si>
    <t>ABYSSAL CIRCULATION CHANGES; WATER MASSES; OLIGOCENE; BATHYAL</t>
  </si>
  <si>
    <t>In the Paleogene, the separation of Australia from Antarctica and the submergence of the Faeroe-Iceland Ridge resulted in the onset of the modern abyssal circulation pattern over the World Ocean. At present, the North Atlantic represents an area where bottom, deep and intermediate water masses are formed. They play an important role in the hydrology of the Atlantic Ocean. Various communities of benthic foraminifera are associated with these water masses. The changes in their species composition in the bottom sediments at abyssal and bathyal depths has helped establish that beginning from the Middle Eocene, Antarctic bottom water has penetrated into the North Atlantic. The final replacement of the warm-water deep circulation with a cold-water circulation pattern took place at the boundary of the Upper Eocene and the Early Oligocene, when water exchange between the North Atlantic and the Arctic Basin began. In this stud, we used the deep-sea drilling y data of DSDP and ODP.</t>
  </si>
  <si>
    <t>Russian Acad Sci, Atlantic Branch, Shirshov Inst Oceanol, Kaliningrad, Russia</t>
  </si>
  <si>
    <t>Russian Academy of Sciences; Shirshov Institute of Oceanology</t>
  </si>
  <si>
    <t>Lukashina, NP (corresponding author), Russian Acad Sci, Atlantic Branch, Shirshov Inst Oceanol, Kaliningrad, Russia.</t>
  </si>
  <si>
    <t>Lukashina, Nadezhda P/L-3351-2016</t>
  </si>
  <si>
    <t>777MH</t>
  </si>
  <si>
    <t>WOS:000189181800017</t>
  </si>
  <si>
    <t>Amakasu, K; Furusawa, M</t>
  </si>
  <si>
    <t>Effective frequency for acoustic survey of antarctic krill</t>
  </si>
  <si>
    <t>OCEANS '04 MTS/IEEE TECHNO-OCEAN '04, VOLS 1- 2, CONFERENCE PROCEEDINGS, VOLS. 1-4</t>
  </si>
  <si>
    <t>Oceans '04 MTS/IEEE Techno-Ocean '04 Conference</t>
  </si>
  <si>
    <t>NOV 09-12, 2004</t>
  </si>
  <si>
    <t>Kobe, JAPAN</t>
  </si>
  <si>
    <t>EUPHAUSIA-SUPERBA; TARGET STRENGTHS; 120 KHZ; ORIENTATION; SCATTERING; MODEL</t>
  </si>
  <si>
    <t>The frequency of 120 kHz is exclusively used for the abundance estimation of Antarctic krill. The considerations on the effective frequency for the acoustic survey of Antarctic krill, however, have not been sufficiently done. We examined the effective frequency for the acoustic survey from the vievvpoints of the variation of target strength (TS), the detection range, and the variation of absorption coefficient a. Although the variations of TS and a are the smallest for 38 kHz, this frequency is not effective because the detection range is especially small. The frequency of 200 kHz is not effective, because the variation of TS may be large. Therefore, the effective frequencies from the QES frequencies are 70 or 120 kHz; there are not serious problems for using both frequencies. This conclusion is desirable because the frequency of 120 kHz has been generally used for the acoustic surveys of Antarctic krill for a long time.</t>
  </si>
  <si>
    <t>Tokyo Univ Marine Sci &amp; Technol, Minato Ku, Tokyo 1088477, Japan</t>
  </si>
  <si>
    <t>Tokyo University of Marine Science &amp; Technology</t>
  </si>
  <si>
    <t>Amakasu, K (corresponding author), Tokyo Univ Marine Sci &amp; Technol, Minato Ku, 4-5-7 Konan, Tokyo 1088477, Japan.</t>
  </si>
  <si>
    <t>0-7803-8669-8</t>
  </si>
  <si>
    <t>Engineering, Ocean; Oceanography</t>
  </si>
  <si>
    <t>Engineering; Oceanography</t>
  </si>
  <si>
    <t>BBT22</t>
  </si>
  <si>
    <t>WOS:000227674100066</t>
  </si>
  <si>
    <t>Squier, AH; Hodgson, DA; Keely, BJ</t>
  </si>
  <si>
    <t>Identification of bacteriophaeophytin a esterified with geranylgeraniol in an Antarctic lake sediment</t>
  </si>
  <si>
    <t>ORGANIC GEOCHEMISTRY</t>
  </si>
  <si>
    <t>LIQUID CHROMATOGRAPHY/MASS SPECTROMETRY; PIGMENT DISTRIBUTIONS; HIGH-RESOLUTION; MICROBIAL MATS; BACTERIOCHLOROPHYLL; CHLOROPHYLL; STRAIN</t>
  </si>
  <si>
    <t>Bacteriophaeophytin a with geranylgeraniol as the C-17(3) esterifying alcohol has been identified in a sediment from Progress Lake, east Antarctica by using atmospheric pressure chemical ionisation liquid chromatography-mass spectrometry. This transformation product of bacteriochlorophyll a(geranylgeraniol), constitutes a biomarker for the presence of purple non-sulfur bacteria, most likely Rhodospirillum rubrum, in the lake at the time of sediment deposition. (C) 2003 Elsevier Ltd. All rights reserved.</t>
  </si>
  <si>
    <t>Univ York, Dept Chem, York YO10 5DD, N Yorkshire, England; British Antarctic Survey, NERC, Cambridge CB3 0ET, England</t>
  </si>
  <si>
    <t>University of York - UK; UK Research &amp; Innovation (UKRI); Natural Environment Research Council (NERC); NERC British Antarctic Survey</t>
  </si>
  <si>
    <t>Univ York, Dept Chem, York YO10 5DD, N Yorkshire, England.</t>
  </si>
  <si>
    <t>bjk1@york.ac.uk</t>
  </si>
  <si>
    <t>Keely, Brendan John/0000-0002-8560-1862</t>
  </si>
  <si>
    <t>0146-6380</t>
  </si>
  <si>
    <t>ORG GEOCHEM</t>
  </si>
  <si>
    <t>Org. Geochem.</t>
  </si>
  <si>
    <t>10.1016/j.orggeochem.2003.10.006</t>
  </si>
  <si>
    <t>770BK</t>
  </si>
  <si>
    <t>WOS:000188703200010</t>
  </si>
  <si>
    <t>Coolen, MJL; Hopmans, EC; Rijpstra, WIC; Muyzer, G; Schouten, S; Volkman, JK; Damsté, JSS</t>
  </si>
  <si>
    <t>Evolution of the methane cycle in Ace Lake (Antarctica) during the Holocene:: Response of methanogens and methanotrophs to environmental change</t>
  </si>
  <si>
    <t>MICROBIAL COMMUNITY STRUCTURE; GRADIENT GEL-ELECTROPHORESIS; VESTFOLD HILLS; PHYLOGENETIC CHARACTERIZATION; ARCHAEAL COMMUNITIES; SULFATE REDUCTION; MEROMICTIC LAKES; LIPID BIOMARKERS; MARINE-SALINITY; SEDIMENTS</t>
  </si>
  <si>
    <t>Post-glacial Ace Lake (Vestfold Hills, Antarctica), which was initially a freshwater lake and then an open marine system, is currently a meromictic basin with anoxic, sulfidic and methane-saturated bottom waters. Lipid and 16S ribosomal RNA gene stratigraphy of up to 10,400-year-old sediment core samples from the lake revealed that these environmentally induced chemical and physical changes caused clear shifts in the species composition of archaea and aerobic methanotrophic bacteria. The combined presence of lipids specific for methanogenic archaea and molecular remains of aerobic methanotrophic bacteria (C-13-depleted Delta(8(14))-sterols and 16S rRNA genes) revealed that an active methane cycle occurred in Ace Lake during the last 3000 calendar years and that the extant methanotrophs were most likely introduced when it became a marine inlet (9400 y BP); rDNA sequences of known methanogens were only recovered from the oldest sediments deposited during the freshwater phase. The latter sequences showed 100% sequence similarity with Methanosarcinales species from freshwater environments and were the source of sn-2- and sn3-hydroxyarchaeols. Archaeal phylotypes related to uncultivated Archaea associated with various marine environments were recovered from the present-day anoxic water column and sediments deposited during the meromictic and marine period. (C) 2004 Elsevier Ltd. All rights reserved.</t>
  </si>
  <si>
    <t>Royal Netherlands Inst Sea Res, Dept Marine Biogeochem, NL-1790 AB Den Burg, Netherlands; Delft Univ Technol, Kluyver Lab Biotechnol, NL-2628 BC Delft, Netherlands; Antarctic CRC, Hobart, Tas 7001, Australia; CSIRO, Marine Res, Hobart, Tas 7001, Australia</t>
  </si>
  <si>
    <t>Utrecht University; Royal Netherlands Institute for Sea Research (NIOZ); Delft University of Technology; Commonwealth Scientific &amp; Industrial Research Organisation (CSIRO)</t>
  </si>
  <si>
    <t>Royal Netherlands Inst Sea Res, Dept Marine Biogeochem, POB 59, NL-1790 AB Den Burg, Netherlands.</t>
  </si>
  <si>
    <t>coolen@nioz.nl</t>
  </si>
  <si>
    <t>Muyzer, Gerard/ABE-5834-2020; Coolen, Marco J. L./B-8263-2015; Muyzer, Gerard/A-3161-2013; Volkman, John K/A-6592-2008; Sinninghe Damste, Jaap/F-6128-2011</t>
  </si>
  <si>
    <t>Muyzer, Gerard/0000-0002-2422-0732; Coolen, Marco J. L./0000-0002-0417-920X; Muyzer, Gerard/0000-0002-2422-0732; Hopmans, Ellen/0000-0002-8209-1334; Sinninghe Damste, Jaap/0000-0002-8683-1854</t>
  </si>
  <si>
    <t>1873-5290</t>
  </si>
  <si>
    <t>10.1016/j.orggeochem.2004.06.009</t>
  </si>
  <si>
    <t>859YY</t>
  </si>
  <si>
    <t>WOS:000224305500008</t>
  </si>
  <si>
    <t>A critical assessment of the analysis and distributions of scytonemin and related UV screening pigments in sediments</t>
  </si>
  <si>
    <t>21st International Meeting on Organic Geochemistry</t>
  </si>
  <si>
    <t>Cracow, POLAND</t>
  </si>
  <si>
    <t>TRANSFORMATION PRODUCTS; HIGH-RESOLUTION; CHLOROPHYLL; IDENTIFICATION; CYANOBACTERIA; COMMUNITY; HILLS; LAKES</t>
  </si>
  <si>
    <t>High performance liquid chromatography-mass spectrometry has been used to identify the cyanophyta-derived ultraviolet screening pigment scytonemin and its reduced counterpart in an Antarctic lake sediment. The formation of an artefact during the analysis has been demonstrated, enabling the recovery of improved estimates of the scytonemin and reduced scytonemin signals. The overall pigment composition records a primary producer community comprising both oxygenic and anoxygenic photoautotrophs, with variations in the abundance of scytonemin relative to the chlorophylls and carotenoids that are consistent with changes in response to variations in the light regime over time. (C) 2004 Elsevier Ltd. All rights reserved.</t>
  </si>
  <si>
    <t>Univ York, Dept Chem, York YO10 5DD, N Yorkshire, England; NERC, British Antarctic Survey, Cambridge CB3 0ET, England</t>
  </si>
  <si>
    <t>11-12</t>
  </si>
  <si>
    <t>10.1016/j.orggeochem.2004.07.005</t>
  </si>
  <si>
    <t>873YD</t>
  </si>
  <si>
    <t>WOS:000225316700004</t>
  </si>
  <si>
    <t>Wilson, MA; Hodgson, DA; Keely, BJ</t>
  </si>
  <si>
    <t>Structural variations in derivatives of the bacteriochlorophylls of Chlorobiaceae: impact of stratigraphic resolution on depth profiles as revealed by methanolysis</t>
  </si>
  <si>
    <t>GREEN SULFUR BACTERIA; LOW-LIGHT-INTENSITY; ANOXYGENIC PHOTOSYNTHESIS; PIGMENT DISTRIBUTIONS; ENZYMATIC METHYLATION; NATURAL-POPULATIONS; CAROTENOID-PIGMENTS; ANTENNA PIGMENTS; KARSTIC LAKE; C HOMOLOGS</t>
  </si>
  <si>
    <t>Bacteriochlorophylls c and d, recovered from two sedimentary sequences, were converted to bacteriophaeophorbide methyl esters by methanolysis and analysed by atmospheric pressure chemical ionisation liquid chromatography-multi-stage mass spectrometry (APCI LC-MSn). The distributions in both settings, a moderately consolidated sediment from Kirisjes Pond, Antarctica, and in a finely laminated microbial mat from Les Salines de la Trinitat, Spain, show significant variations within a narrow depth interval. The overall bacteriophaeophorbide c to d ratios in the two sediments are different, as are the ratios of particular C-3(1) diastereoisomers, indicating distinct differences between the bacterial communities that contributed to each sediment. Furthermore, a shift towards more extensive alkylation in homologues within each sediment is consistent either with changing environmental conditions in the depositional environments, or development-related changes in the structure of the bacterial community, leading to increased competition for light or nutrients. (C) 2004 Elsevier Ltd. All rights reserved.</t>
  </si>
  <si>
    <t>10.1016/j.orggeochem.2004.05.011</t>
  </si>
  <si>
    <t>WOS:000225316700010</t>
  </si>
  <si>
    <t>Structures and profiles of novel sulfur-linked chlorophyll derivatives in an Antarctic lake sediment</t>
  </si>
  <si>
    <t>LIQUID CHROMATOGRAPHY/MASS SPECTROMETRY; SULFURIZATION; RECONSTRUCTION; IDENTIFICATION; DEGRADATION; BIOMARKERS; DIAGENESIS; LIPIDS</t>
  </si>
  <si>
    <t>High performance liquid chromatography-mass spectrometry has permitted the identification of a homologous series of novel alkylsulfide derivatives of chlorophyll a containing between one and five carbon atoms, in sediment from a coastal Antarctic lake. The sulfur-containing compounds are present in varying abundance in stratigraphic horizons representing a phase when the lake was a marine basin. Throughout this marine phase photic zone anoxia is recorded by the presence of bacteriochlorophyll c and d-derivatives. Distributional variations between sulfurised and non-sulfurised chlorophyll a-derivatives throughout the sediment section studied indicate that the extent of sulfurisation is not controlled by chlorophyll a abundance alone. (C) 2004 Elsevier Ltd. All rights reserved.</t>
  </si>
  <si>
    <t>10.1016/j.orggeochem.2004.06.016</t>
  </si>
  <si>
    <t>WOS:000225316700011</t>
  </si>
  <si>
    <t>Partridge, TC; Scott, L; Schneider, RR</t>
  </si>
  <si>
    <t>Battarbee, RW; Gasse, F; Stickley, CE</t>
  </si>
  <si>
    <t>Between Agulhas and Benguela: Responses of Southern African climates of the late pleistocene to current fluxes, orbital precession and the extent of the circum-antarctic vortex</t>
  </si>
  <si>
    <t>PAST CLIMATE VARIABILITY THROUGH EUROPE AND AFRICA</t>
  </si>
  <si>
    <t>Developments in Paleoenvironmental Research</t>
  </si>
  <si>
    <t>Conference on Climate Variability through Europe and Africa</t>
  </si>
  <si>
    <t>AUG, 2001</t>
  </si>
  <si>
    <t>Aix en Provence, FRANCE</t>
  </si>
  <si>
    <t>Miombo; fynbos; tswaing crater; rainfall proxy; heinrich events; dune activity; Antarctic cold reversal; Benguela upwelling; Kalahari; palaeo-lakes</t>
  </si>
  <si>
    <t>QUATERNARY ENVIRONMENTAL-CHANGES; WOOD CHARCOAL ASSEMBLAGES; SEA-SURFACE TEMPERATURES; LAST GLACIAL MAXIMUM; ELANDS BAY CAVE; SOUTHWESTERN AFRICA; HEINRICH EVENTS; ATLANTIC-OCEAN; DIATOM RECORD; CAPE PROVINCE</t>
  </si>
  <si>
    <t>Univ Witwatersrand, Climatol Res Grp, ZA-2050 Johannesburg, South Africa</t>
  </si>
  <si>
    <t>Partridge, TC (corresponding author), Univ Witwatersrand, Climatol Res Grp, Private Bag 3, ZA-2050 Johannesburg, South Africa.</t>
  </si>
  <si>
    <t>tcp@iafrica.com; Scott1.sci@mail.uovs.ac.za; rschneid@uni-bremen.de</t>
  </si>
  <si>
    <t>Schneider, Ralph/0000-0003-1453-9181</t>
  </si>
  <si>
    <t>1571-5299</t>
  </si>
  <si>
    <t>1-4020-2120-8</t>
  </si>
  <si>
    <t>DEV PALEOENVIRON RES</t>
  </si>
  <si>
    <t>Dev. Paleoenviron. Res.</t>
  </si>
  <si>
    <t>BBX65</t>
  </si>
  <si>
    <t>WOS:000228286800004</t>
  </si>
  <si>
    <t>Partridge, TC; Lowe, JJ; Barker, P; Hoelzmann, P; Magri, D; Saarnisto, M; Vandenberghe, J; Street-Perrott, FA; Gasse, F</t>
  </si>
  <si>
    <t>Climate variability in Europe and Africa: A PAGES-PEP III time Stream II Synthesis</t>
  </si>
  <si>
    <t>precessional forcing; abrupt climatic changes; last interglacial-glacial cycle; Europe; Africa; tropical monsoon influences; Antarctic circulation influences; N. Atlantic circulation influences; climate 'teleconnections</t>
  </si>
  <si>
    <t>GLACIAL-HOLOCENE TRANSITION; ICE-SHEET FLUCTUATIONS; ENVIRONMENTAL-CHANGES; HEINRICH EVENTS; MARINE RECORDS; NORTH-ATLANTIC; HIGH-LATITUDE; ARABIAN SEA; LAST; TERRESTRIAL</t>
  </si>
  <si>
    <t>Univ Witwatersrand, Climatol Res Grp, ZA-2050 Johannesburg, Johannesburg, South Africa</t>
  </si>
  <si>
    <t>Partridge, TC (corresponding author), Univ Witwatersrand, Climatol Res Grp, Private Bag 3, ZA-2050 Johannesburg, Johannesburg, South Africa.</t>
  </si>
  <si>
    <t>tcp@iafrica.com; j.lowe@rhul.ac.uk; p.barker@lancaster.ac.uk; phillip.hoelzmann@bgc-jena.mpg.de; magri@mai1.uniroma1.it; vanj@geo.vu.nl; f.a.street-perrott@swansea.ac.uk; gasse@cerege.fr</t>
  </si>
  <si>
    <t>Magri, Donatella/E-8885-2011; Vandenberghe, Jef/H-5846-2019; Hoelzmann, Philipp/H-7008-2019; Barker, Philip A/J-5938-2012</t>
  </si>
  <si>
    <t>Magri, Donatella/0000-0001-7254-593X; Vandenberghe, Jef/0000-0001-9910-1319; Hoelzmann, Philipp/0000-0001-8709-8474; Barker, Philip/0000-0002-5334-9201</t>
  </si>
  <si>
    <t>WOS:000228286800028</t>
  </si>
  <si>
    <t>Morris, RJ; Monselesan, DP; Hyde, MR; Breed, AM; Wilkinson, PJ; Parkinson, ML</t>
  </si>
  <si>
    <t>Bilitza, DK; Rawer, KM; Reinisch, B</t>
  </si>
  <si>
    <t>Southern polar cap DPS and CADI ionosonde measurements: 1. Ionogram comparison</t>
  </si>
  <si>
    <t>PATH TOWARD IMPROVED IONOSPHERE SPECIFICATION AND FORECAST MODELS</t>
  </si>
  <si>
    <t>ionosphere; digital ionosonde; ionospheric irregularities; polar cap ionosphere</t>
  </si>
  <si>
    <t>Digisonde Portable Sounder 4 (DPS-4) and Canadian Advanced Digital Ionosonde (CADI) digital ionosondes were operated concurrently at the polar cap station Casey (110.5degreesE, 66.3degreesS geographic, 81.0degreesS magnetic), Antarctica during 2000-2001. These two digital ionosondes employ different antenna arrays and digital signal processing techniques, yet nevertheless are closely related instruments. An interleaved operation schedule permitted continuous recording of ionograms. Both instruments have proved reliable in monitoring the ionosphere. This paper presents observations of background ionospheric irregularities in the E- and F-region polar cap ionosphere using these two different digital ionosondes. The comparison between DPS and CADI ionogram records enabled us to devise alternative operation modes for the CADI program at Casey. The DPS has since been relocated to the polar cusp station Davis (78.0degreesE, 68.6degreesS geographic, 74.6degreesS magnetic), Antarctica. Crown Copyright (C) 2003 Published by Elsevier Ltd on behalf of COSPAR. All rights reserved.</t>
  </si>
  <si>
    <t>Australian Antarctic Div, Kingston, Tas 7050, Australia; IPS Radio &amp; Space Serv, Haymarket, NSW 1240, Australia; La Trobe Univ, Dept Phys, Bundoora, Vic 3086, Australia</t>
  </si>
  <si>
    <t>Morris, RJ (corresponding author), Australian Antarctic Div, Channel Highway, Kingston, Tas 7050, Australia.</t>
  </si>
  <si>
    <t>ray.morris@.aad.gov.au</t>
  </si>
  <si>
    <t>10.1016/j.asr.2003.08.010</t>
  </si>
  <si>
    <t>BAF39</t>
  </si>
  <si>
    <t>WOS:000221995500017</t>
  </si>
  <si>
    <t>Morris, RJ; Breed, AM; Smith, PR; Papitashvili, VO; Wallace, SA; Hyde, MR</t>
  </si>
  <si>
    <t>A comparison of polar cap ionospheric velocity determined from a digital ionosonde model and the DICM and IZMEM/DMSP electric potential models</t>
  </si>
  <si>
    <t>ionosphere; digital ionosonde; polar cap ionosphere; convection velocities</t>
  </si>
  <si>
    <t>INTERPLANETARY MAGNETIC-FIELD; CONVECTION; DIRECTION; PATTERNS; STRENGTH; STATION; CASEY</t>
  </si>
  <si>
    <t>Digisonde Portable Sounder 4 (DPS-4) ionospheric F-region drift measurements at the polar cap station Casey (110.5degreesE, 66.3degreesS geographic, 80.8degreesS corrected geomagnetic), Antarctica were used to derive the Casey 1997 (C97) regression model of Smith [Ionospheric F-region plasma convection at Casey - a southern polar cap station. PhD Thesis. La Trobe University, Australia, 1998]. F-region ionospheric convection velocities derived from C97 are compared with convection velocities derived from the application of E x B/B-2 at the geomagnetic latitude of Casey to the relatively new DICM and IZMEM/DMSP fully parameterized electric potential convection models of Papitashvili and Rich [J. Geophys. Res. 107 (A8) 1198, 2002]. Where the DICM model was constructed from satellite F-region ion drift observations from DMSP satellite data at 840 km, and the IZMEM/DMSP model was constructed using ground-magnetometer measurements and calibrated against DMSP ion data. A comparison between C97 and the new DICM and IZMEM/DMSP models was undertaken as a function of dipole tilt angle or season and for a range of IMF parameters. The initial results of the comparison between these experimental models for estimating F-region ionospheric convection drift velocities will be presented. Crown Copyright (C) 2003 Published by Elsevier Ltd on behalf of COSPAR. All rights reserved.</t>
  </si>
  <si>
    <t>Australian Antarctic Div, Kingston, Tas 7050, Australia; La Trobe Univ, Dept Phys, Bundoora, Vic 3086, Australia; Univ Michigan, Space Phys Res Lab, Ann Arbor, MI 48109 USA; IPS Radio &amp; Space Serv, Haymarket, NSW 1240, Australia</t>
  </si>
  <si>
    <t>Australian Antarctic Division; La Trobe University; University of Michigan System; University of Michigan</t>
  </si>
  <si>
    <t>Papitashvili, Vladimir/0000-0001-6955-4894</t>
  </si>
  <si>
    <t>10.1016/j.asr.2003.08.013</t>
  </si>
  <si>
    <t>WOS:000221995500018</t>
  </si>
  <si>
    <t>Morris, RJ; Monselesan, DP; Hyde, MR; Breed, AM; Wilkinson, PJ</t>
  </si>
  <si>
    <t>Southern polar cap DPS and CADI ionosonde measurements: 2. F-region drift comparison</t>
  </si>
  <si>
    <t>ionosphere; digital ionosonde; ionospheric drift</t>
  </si>
  <si>
    <t>CONVECTION; VELOCITY; STATION</t>
  </si>
  <si>
    <t>Digisonde Portable Sounder 4 (DPS-4) and Canadian Advanced Digital Ionosonde (CADI) digital ionosondes were operated concurrently at the polar cap station Casey (110.5degreesE, 66.3degreesS geographic, 81.0degreesS magnetic), Antarctica during 2000-2001. These two digital ionosondes employ different antenna arrays and digital signal processing techniques, yet nevertheless are closely related instruments. An interleaved operation schedule permitted concurrent recording of ionograms and E- and F-region ionospheric drift measurements. This paper presents observations of background ionospheric drift in the F-region polar cap ionosphere using these two different digital ionosondes. A preliminary comparison between DPS and CADI drift measurements revealed substantial differences between the vertical (Vz) and horizontal (Vh) drift velocities determined by the two digital ionosondes. The DPS has since been relocated to the polar cusp station Davis (78.0degreesE, 68.6degreesS geographic, 74.6degreesS magnetic), Antarctica. Crown Copyright (C) 2003 Published by Elsevier Ltd on behalf of COSPAR. All rights reserved.</t>
  </si>
  <si>
    <t>Australian Antarctic Div, Kingston, Tas 7050, Australia; IPS Radio &amp; Space Serv, Haymarket, NSW 1240, Australia</t>
  </si>
  <si>
    <t>10.1016/j.asr.2003.08.012</t>
  </si>
  <si>
    <t>WOS:000221995500019</t>
  </si>
  <si>
    <t>Cockell, CS; Córdoba-Jabonero, C</t>
  </si>
  <si>
    <t>Coupling of climate change and biotic UV exposure through changing snow-ice covers in terrestrial habitats</t>
  </si>
  <si>
    <t>PHOTOCHEMISTRY AND PHOTOBIOLOGY</t>
  </si>
  <si>
    <t>ULTRAVIOLET-RADIATION</t>
  </si>
  <si>
    <t>During the spring, when ozone depletion at the polar regions is at its maximum and consequently the environmental UV exposure is potentially high, many terrestrial communities are covered in snow and heterogeneous snow-encrusted ice that form near the edges of snowpack. Using field measurements and a theoretical radiative transfer model, we calculated the thicknesses of these covers that are necessary to reduce DNA-weighted dose to levels equal to or lower than those received later in the season in the absence of covers when there is no ozone depletion. This depth is approximately 4 cm for a 60% depletion of the ozone column, suggesting that even thin snow-ice covers are enough to completely cancel the biological effects of ozone depletion. Loss of snow-ice covers during early summer can be rapid. The maximum rate of retreat of snow cover measured during November at Mars Oasis, Antarctica (71.9degreesS, 68.2degreesW), was 44.1 cm/day, with a mean retreat of 15.4 cm/day. Climate warming might increase UV-radiation damage by melting UV-protecting terrestrial snow-ice covers earlier in the season, when ozone depletion is more severe. Conversely, climate cooling could increase UV-protection afforded to terrestrial communities by increasing the extent of snow and ice covers. Even if anthropogenic ozone depletion is eventually reversed, these data suggest the importance of climate forcing in determining UV exposures of terrestrial microbial communities in snow- and ice-covered environments.</t>
  </si>
  <si>
    <t>British Antarctic Survey, Cambridge CB3 0ET, England; CSIC, INTA, Ctr Astrobiol, Madrid, Spain</t>
  </si>
  <si>
    <t>UK Research &amp; Innovation (UKRI); Natural Environment Research Council (NERC); NERC British Antarctic Survey; Consejo Superior de Investigaciones Cientificas (CSIC); CSIC - Centro de Astrobiologia (INTA)</t>
  </si>
  <si>
    <t>Cordoba-Jabonero, Carmen/J-6331-2014</t>
  </si>
  <si>
    <t>Cordoba-Jabonero, Carmen/0000-0003-4859-471X</t>
  </si>
  <si>
    <t>0031-8655</t>
  </si>
  <si>
    <t>1751-1097</t>
  </si>
  <si>
    <t>PHOTOCHEM PHOTOBIOL</t>
  </si>
  <si>
    <t>Photochem. Photobiol.</t>
  </si>
  <si>
    <t>10.1562/0031-8655(2004)79&lt;26:COCCAB&gt;2.0.CO;2</t>
  </si>
  <si>
    <t>765GZ</t>
  </si>
  <si>
    <t>WOS:000188259900004</t>
  </si>
  <si>
    <t>Braun, V; Neuner, G</t>
  </si>
  <si>
    <t>Response of effective quantum yield of photosystem 2 to in situ temperature in three alpine plants</t>
  </si>
  <si>
    <t>PHOTOSYNTHETICA</t>
  </si>
  <si>
    <t>chlorophyll fluorescence induction; heat; Loiselcuria procumbens; photoinhibition; Saxifraga paniculata; Sol-danella pusilla; temperature optimum</t>
  </si>
  <si>
    <t>PHOTOSYNTHETIC ELECTRON-TRANSPORT; CHLOROPHYLL FLUORESCENCE; CO2 ASSIMILATION; TREES; STRESS; FOREST; HEAT; PHOTOINHIBITION; SURVIVAL; FIELD</t>
  </si>
  <si>
    <t>The response of effective quantum yield of photosystem 2 (DeltaF/F(m)') to temperature was investigated under field conditions (1 950 in a.s.l.) in three alpine plant species with contrasting leaf temperature climates. The in situ temperature response did not follow an Optimum Curve but under saturating irradiances [PPFD &gt;800 mumol(photon) m(-2) s(-1)] highest DeltaF/F(m)' occurred at leaf temperatures below 10 degreesC. This was comparable to the temperature response of antarctic vascular plants. Leaf temperatures between 0 and 15 degreesC were the most frequently (41 to 56%) experienced by the investigated species. At these temperatures, DeltaF/F(m)' was highest in all species (data from all irradiation classes included) but the species differed in the temperature at which DeltaF/F(m)' dropped below 50% (Soldanella pusilla &gt;20 degreesC, Loiseleuria procumbens &gt;25 degreesC, and Saxifraga paniculata &gt;40 degreesC). The in situ response of DeltaF/F(m)' showed significantly higher DeltaF/F(m)' values at saturating PPFD for the species growing in full sunlight (S. paniculata and L. procumbens) than for S. pusilla growing under more moderate PPFD. The effect of increasing PPFD on DeltaF/F(m)', for a given leaf temperature, was most pronounced in S. pusilla. Despite the broad diurnal leaf temperature amplitude of alpine environments, only in S. paniculata did saturating PPFD occur over a broad range of leaf temperatures (43 K). In the other two species it was half of that (around 20 K). This indicates that the setting of environmental scenarios (leaf temperature x PPFD) in laboratory experiments often likely exceeds the actual environmental demand in the field.</t>
  </si>
  <si>
    <t>Univ Innsbruck, Inst Bot, A-6020 Innsbruck, Austria</t>
  </si>
  <si>
    <t>Neuner, G (corresponding author), Univ Innsbruck, Inst Bot, Sternwartestr 15, A-6020 Innsbruck, Austria.</t>
  </si>
  <si>
    <t>gilbert.neuner@uibk.ac.at</t>
  </si>
  <si>
    <t>Braun, Verena/IUN-4201-2023; Neuner, Gilbert/J-9909-2017</t>
  </si>
  <si>
    <t>Neuner, Gilbert/0000-0003-2415-6125</t>
  </si>
  <si>
    <t>0300-3604</t>
  </si>
  <si>
    <t>Photosynthetica</t>
  </si>
  <si>
    <t>10.1007/S11099-005-0020-3</t>
  </si>
  <si>
    <t>898WR</t>
  </si>
  <si>
    <t>WOS:000227107400018</t>
  </si>
  <si>
    <t>Kohout, T; Kletetschka, G; Kobr, M; Pruner, P; Wasilewski, PJ</t>
  </si>
  <si>
    <t>The influence of terrestrial processes on meteorite magnetic records</t>
  </si>
  <si>
    <t>PHYSICS AND CHEMISTRY OF THE EARTH</t>
  </si>
  <si>
    <t>meteorite magnetism; fusion crust; terrestrial residence; meteorite fall</t>
  </si>
  <si>
    <t>SOLAR NEBULA; MURCHISON METEORITE; AMINO-ACIDS; REMANENCE; CHONDRITES; ROCKS; SUSCEPTIBILITY; DISCHARGES; DUST</t>
  </si>
  <si>
    <t>In early solar system history there are several electromagnetic processes (electric discharges, pressure shock waves, electric discharges and currents) capable of magnetizing the primitive solid particles condensating from the solar nebula. The record of these magnetic events is the main objective of rock magnetic laboratory studies of meteorites found on the Earth. However, terrestrial environment can affect the magneto-mineralogy, can cause changes in magnetic parameters and can overprint the primary magnetic record. The entry of a meteorite into the terrestrial atmosphere causes surface heating and pressure effects due to large initial velocity. The effect of surface heating was the subject of the study with the CM2 Murchison meteorite. Results show the remagnetised zone to be at least 6 mm thick. On CM3, Allende meteorite we studied an effect of pressure during the atmospheric entry. According to our results the pressure does not seem to be a source responsible for meteorite remagnetization. Some meteorites are found several days after the fall, some are deposited in a desert or on the Antarctic ice for thousands of years. Most of them contain visible traces of terrestrial oxidation and weathering. We used the sample of an L6 chondrite DaG 979 found in the Libya desert, sample of the iron meteorite Campo del Cielo (found in Argentina 5000 years after the fall), and sample of the H5 Zebrak meteorite (found several days after the fall) for weathering simulations. Weathering plays an important role in the meteorite terrestrial history and is capable of complete remagnetization of the meteoritic material. To document the terrestrial processes that influence meteorite magnetism we monitored changes in magnetic remanence and magnetic hysteresis parameters. Our results indicate that the terrestrial processes are capable of changing magnetic properties and can overprint the primary magnetic record. Therefore, an extreme care is required when selecting the meteorite samples for primary magnetic component study. (C) 2004 Published by Elsevier Ltd.</t>
  </si>
  <si>
    <t>Charles Univ Prague, Dept Appl Geophys, Fac Sci, Prague 12843 2, Czech Republic; Acad Sci Czech Republ, Inst Geol, Prague, Czech Republic; Catholic Univ Amer, Washington, DC 20064 USA; NASA, Goddard Space Flight Ctr, Astrochem Branch, Greenbelt, MD 20771 USA</t>
  </si>
  <si>
    <t>Charles University Prague; Czech Academy of Sciences; Institute of Geology of the Czech Academy of Sciences; Catholic University of America; National Aeronautics &amp; Space Administration (NASA); NASA Goddard Space Flight Center</t>
  </si>
  <si>
    <t>Kohout, T (corresponding author), Charles Univ Prague, Dept Appl Geophys, Fac Sci, Albertov 6, Prague 12843 2, Czech Republic.</t>
  </si>
  <si>
    <t>kohout@natur.cuni.cz</t>
  </si>
  <si>
    <t>Pruner, Petr/I-8786-2014; Kohout, Tomas/C-1394-2008; Kletetschka, Gunther/AAA-2008-2021</t>
  </si>
  <si>
    <t>Kohout, Tomas/0000-0003-4458-3650; Kletetschka, Gunther/0000-0002-0645-9037; Pruner, Petr/0000-0002-7222-1561</t>
  </si>
  <si>
    <t>1474-7065</t>
  </si>
  <si>
    <t>PHYS CHEM EARTH</t>
  </si>
  <si>
    <t>Phys. Chem. Earth</t>
  </si>
  <si>
    <t>13-14</t>
  </si>
  <si>
    <t>10.1016/j.pce.2004.06.004</t>
  </si>
  <si>
    <t>Geosciences, Multidisciplinary; Meteorology &amp; Atmospheric Sciences; Water Resources</t>
  </si>
  <si>
    <t>Geology; Meteorology &amp; Atmospheric Sciences; Water Resources</t>
  </si>
  <si>
    <t>859KJ</t>
  </si>
  <si>
    <t>WOS:000224261800004</t>
  </si>
  <si>
    <t>Onofri, S; Selbmann, L; Zucconi, L; Pagano, S</t>
  </si>
  <si>
    <t>Antarctic microfungi as models for exobiology</t>
  </si>
  <si>
    <t>PLANETARY AND SPACE SCIENCE</t>
  </si>
  <si>
    <t>Workshop on Terrestrial Analogues of Mars</t>
  </si>
  <si>
    <t>SICILY, ITALY</t>
  </si>
  <si>
    <t>extremophiles; microbial communities; Mars; microfungi</t>
  </si>
  <si>
    <t>UV-B IRRADIATION; CONTINENTAL ANTARCTICA; BACTERIAL-SPORES; DOMINICAN AMBER; LOW-TEMPERATURE; FUNGAL STRAINS; BLACK YEASTS; DRY VALLEYS; COLD DESERT; SP. NOV.</t>
  </si>
  <si>
    <t>Microfungi living in different Antarctic environments are generally well adapted to high stress conditions such as low temperatures, wide thermal fluctuations, high UV irradiance, and low water and nutrients availability; for this reason they could be investigated in order to explore limits of microbial life. Microfungi living in simple cryptoendolithic microbial communities inside the porosity of rocks in the Antarctic Dry Valleys, the closest terrestrial analogue of Mars, are particularly suitable for exobiological studies. Until now studies on exobiology focused mainly on prokaryotes; since cryptoendolithic black meristematic fungi are able to tolerate hard desiccation, high UV exposure, extremely low temperatures and wide thermal fluctuations, they are proposed as the best eukaryotic models for the biological exploration of Mars. Indeed, their adaptive strategies could be crucial as predictive tools in investigating the limits of life. (C) 2003 Elsevier Ltd. All rights reserved.</t>
  </si>
  <si>
    <t>Univ Tuscia, Dipartimento Sci Ambientali, I-01100 Viterbo, Italy</t>
  </si>
  <si>
    <t>Tuscia University</t>
  </si>
  <si>
    <t>Onofri, S (corresponding author), Univ Tuscia, Dipartimento Sci Ambientali, Largo Univ, I-01100 Viterbo, Italy.</t>
  </si>
  <si>
    <t>onofri@unitus.it</t>
  </si>
  <si>
    <t>Zucconi, L./U-9781-2018; Selbmann, Laura/L-3056-2013</t>
  </si>
  <si>
    <t>Zucconi, L./0000-0001-9793-2303; Selbmann, Laura/0000-0002-8967-3329; ONOFRI, Silvano/0000-0001-8872-1440</t>
  </si>
  <si>
    <t>0032-0633</t>
  </si>
  <si>
    <t>PLANET SPACE SCI</t>
  </si>
  <si>
    <t>Planet Space Sci.</t>
  </si>
  <si>
    <t>10.1016/j.pss.2003.08.019</t>
  </si>
  <si>
    <t>770MD</t>
  </si>
  <si>
    <t>WOS:000188733800026</t>
  </si>
  <si>
    <t>Rodin, A; Rees, D; Gupta, SP</t>
  </si>
  <si>
    <t>A review of stratospheric H2O and NO2</t>
  </si>
  <si>
    <t>PLANETARY IONOSPHERES AND ATMOSPHERES INCLUDING CIRA</t>
  </si>
  <si>
    <t>climatology; trends; accuracy</t>
  </si>
  <si>
    <t>WATER-VAPOR; NITROGEN-DIOXIDE; TRENDS</t>
  </si>
  <si>
    <t>Twenty years ago there were large disagreements between instruments measuring stratospheric H2O and NO2, and there were no reliable long-term records. Now, there is greatly improved agreement between techniques, there are 20-year records of profiles of stratospheric H2O and of total NO2 at single sites, there is a qualified H2O record extending back 40 years and 12-year records of total NO2 from many sites, and there are reliable global measurements from satellites to form the basis of climatologies. This excellent progress is marred by a discrepancy between the observed trend in lower stratospheric H2O and temperatures at the tropical cold point, and by a possible discrepancy between the observed trend in total NO2 and the trend in the source of NO2. The second discrepancy would be resolved by a trend in the residual circulation in the stratosphere, in the same way as variability in the residual circulation was responsible for variability in the trend in H2O in the upper stratosphere in the 1990s. (C) 2004 COSPAR. Published by Elsevier Ltd. All rights reserved.</t>
  </si>
  <si>
    <t>British Antarctic Survey, NERC Madingley Rd, Cambridge CB3 03T, England</t>
  </si>
  <si>
    <t>British Antarctic Survey, NERC Madingley Rd, Cambridge CB3 03T, England.</t>
  </si>
  <si>
    <t>Rodin, Alexander V./L-1904-2013</t>
  </si>
  <si>
    <t>10.1016/j.asr.2003.01.025</t>
  </si>
  <si>
    <t>BBH96</t>
  </si>
  <si>
    <t>WOS:000225594400016</t>
  </si>
  <si>
    <t>Portnyagin, Y; Solovjova, T; Merzlyakov, E; Forbes, J; Palo, S; Ortland, D; Hocking, W; MacDougall, J; Thayaparan, T; Manson, A; Meek, C; Hoffmann, P; Singer, W; Mitchell, N; Pancheva, D; Igarashi, K; Murayama, Y; Jacobi, C; Kuerschner, D; Fahrutdinova, A; Korotyshkin, D; Clark, R; Taylor, M; Franke, S; Fritts, D; Tsuda, T; Nakamura, T; Gurubaran, S; Rajaram, R; Vincent, R; Kovalam, S; Batista, P; Poole, G; Malinga, S; Fraser, G; Murphy, D; Riggin, D; Aso, T; Tsutsumi, M</t>
  </si>
  <si>
    <t>Mesosphere/lower thermosphere prevailing wind model</t>
  </si>
  <si>
    <t>mesosphere/lower thermosphere; prevailing wind model</t>
  </si>
  <si>
    <t>The mesosphere/lower thermosphere (MLT) wind data from the 46 ground-based (GB) MF and meteor radar (MR) stations, located at the different latitudes over the globe, and the space-based (SB) HRDI data were used for constructing of the empirical global climatic 2-D prevailing wind model at 80-100 km heights for all months of the year. The main data set is obtained during 1990-2001 period. It is shown that the three datasets (MF, MR, HRDI) are mainly well correlated. However, a certain systematic bias between the GB and SB data at 96 km exists, as well as that between the MF and MR data higher 88 km. Simple correction factors are proposed to minimize these biases. The 2-D distant-weighted least-square interpolation procedure for some arbitrary collection of points was used for drawing model contour plots. The model is available in the computer readable form and may be used for construction of the new LIRA model. (C) 2004 COSPAR. Published by Elsevier Ltd. All rights reserved.</t>
  </si>
  <si>
    <t>Inst Expt Meteorol, Obninsk 249038, Russia; Univ Colorado, Boulder, CO 80309 USA; NW Res Associates, Bellevue, WA 98007 USA; Univ Western Ontario, Dept Phys, London, ON N6A 3K7, Canada; Def Res Estab, Ottawa Surface Radar, Ottawa, ON K1A 0Z4, Canada; Univ Saskatchewan, Inst Space &amp; Atmospher Studies, Saskatoon, SK S7N 5E2, Canada; Univ Rostock, Leibniz Inst Atmospher Phys, D-18225 Kuhlungsborn, Germany; Univ Bath, Bath BA2 7AY, Avon, England; Inst Arctic Environm Res, Commun Res Lab, Tokyo 1848795, Japan; Univ Leipzig, Inst Meteorol, D-04103 Leipzig, Germany; Kazan VI Lenin State Univ, Dept Phys, Radiophys Dept, Kazan 420008, Russia; Univ New Hampshire, Durham, NH 03824 USA; Utah State Univ, Logan, UT 84322 USA; Univ Illinois, Space Sci &amp; Remote Sensing Lab, Urbana, IL 61801 USA; Colorado Res Associates, Boulder, CO 80301 USA; Kyoto Univ, Ctr Radio Atmospher Sci, Kyoto 6110011, Japan; Indian Inst Geomagnetism, Equatorial Geophys Res Lab, Tirunelveli 671011, TN, India; Univ Adelaide, Adelaide, SA 5005, Australia; INPE Aeron Div, BR-12200 Sao Jose Dos Campos, Brazil; Rhodes Univ, Dept Phys &amp; Elect, ZA-6140 Grahamstown, South Africa; Univ Canterbury, Dept Phys &amp; Astron, Christchurch 4800, New Zealand; Australian Antarctic Div, Atmospher &amp; Space Phys, Kingston, Tas 7050, Australia; Natl Inst Polar Res, Itabaski Ku, Tokyo 1738515, Japan</t>
  </si>
  <si>
    <t>University of Colorado System; University of Colorado Boulder; NorthWest Research Associates; Western University (University of Western Ontario); University of Saskatchewan; Leibniz Institut fur Atmospharenphysik e.V. an der Universitat Rostock (IAP); University of Rostock; University of Bath; National Institute of Information &amp; Communications Technology (NICT) - Japan; Leipzig University; Kazan Federal University; University System Of New Hampshire; University of New Hampshire; Utah System of Higher Education; Utah State University; University of Illinois System; University of Illinois Urbana-Champaign; Kyoto University; Department of Science &amp; Technology (India); Indian Institute of Geomagnetism (IIG); University of Adelaide; Rhodes University; University of Canterbury; Australian Antarctic Division; Research Organization of Information &amp; Systems (ROIS); National Institute of Polar Research (NIPR) - Japan</t>
  </si>
  <si>
    <t>Inst Expt Meteorol, Lenin Str 82, Obninsk 249038, Russia.</t>
  </si>
  <si>
    <t>yportgin@typhoon.obninsk.org</t>
  </si>
  <si>
    <t>Forbes, Jeffrey M/B-7234-2016; tsuda, toshitaka/A-3035-2015; BATISTA, PAULO PRADO/C-2616-2009; Murayama, Yasuhiro/ABF-1698-2020; Vincent, Robert A/E-5450-2013; Merzlyakov, E G/U-5443-2017; Korotyshkin, Dmitry/ABD-6576-2020; Tsuda, Toshitaka/GYJ-4925-2022; Kovalam, Sujata/Q-1447-2016; Gurubaran, Subramanian/C-6694-2013</t>
  </si>
  <si>
    <t>Forbes, Jeffrey M/0000-0001-6937-0796; BATISTA, PAULO PRADO/0000-0002-5448-5803; Murayama, Yasuhiro/0000-0003-1129-334X; Vincent, Robert A/0000-0001-6559-6544; Merzlyakov, E G/0000-0001-8344-5491; Nakamura, Takuji/0000-0002-3876-2946; Kovalam, Sujata/0000-0001-6528-0072; Gurubaran, Subramanian/0000-0002-9678-1352; Poole, Geoffrey/0000-0002-8458-0203; PALO, SCOTT/0000-0002-4729-4929</t>
  </si>
  <si>
    <t>10.1016/j.asr.2003.04.058</t>
  </si>
  <si>
    <t>WOS:000225594400017</t>
  </si>
  <si>
    <t>Troshichev, OA; Frank-Kamenetsky, A; Burns, G; Fuellekrug, M; Rodger, A; Morozov, V</t>
  </si>
  <si>
    <t>The relationship between variations of the atmospheric electric field in the southern polar region and thunderstorm activity</t>
  </si>
  <si>
    <t>atmospheric electric field; southern polar region; thunderstorm activity</t>
  </si>
  <si>
    <t>CURRENTS</t>
  </si>
  <si>
    <t>Observations of the atmospheric, near-surface vertical electric field component E-z have been carried out at the Russian-Antarctic station, Vostok, since 1998 under the framework of a cooperative Russian-Australian project. Only data satisfying fair weather conditions are selected for the subsequent analyses. Behavior of E-z field at Vostok station is compared with thunderstorm occurrence determined from a network of ELF magnetic field measurements in April 1998 and with simultaneous VLF emission measurements at Halley Bay (Antarctica). We find no correlation between the 5 min averages of E-z and the lightning flashes intensity or between E-z and VLF emissions, although significant correlation between E-z and VLF emissions is observed in particular cases. The same statistical results have been obtained from a comparison of hourly averaged values. Moreover, even the mean diurnal variation of electric field derived for 10 fine weather days in April 1998 turned out to be inconsistent with the mean diurnal variation of the lightning flashes for the same days. Reasons of these inconsistencies are discussed. (C) 2004 COSPAR. Published by Elsevier Ltd. All rights reserved.</t>
  </si>
  <si>
    <t>Arctic &amp; Antarctic Res Inst, St Petersburg 199397, Russia; Australian Antarctic Div, Kingston, Tas 7050, Australia; Goethe Univ Frankfurt, Inst Geophys, D-60323 Frankfurt, Germany; British Antarctic Res, Cambridge CB3 0ET, England; Voeikov Main Geophys Observ, St Petersburg 194021, Russia</t>
  </si>
  <si>
    <t>Arctic &amp; Antarctic Research Institute; Australian Antarctic Division; Goethe University Frankfurt; UK Research &amp; Innovation (UKRI); Natural Environment Research Council (NERC); NERC British Antarctic Survey</t>
  </si>
  <si>
    <t>Arctic &amp; Antarctic Res Inst, 38 Bering St, St Petersburg 199397, Russia.</t>
  </si>
  <si>
    <t>olegtro@aari.nw.ru</t>
  </si>
  <si>
    <t>10.1016/j.asr.2003.07.063</t>
  </si>
  <si>
    <t>WOS:000225594400024</t>
  </si>
  <si>
    <t>Troshichev, OA; Egorova, LV; Vovk, VY</t>
  </si>
  <si>
    <t>Influence of the solar wind variations on atmospheric parameters in the southern polar region</t>
  </si>
  <si>
    <t>central Antarctic; atmospheric temperature and pressure; interplanetary electric field; system of circulation</t>
  </si>
  <si>
    <t>BARIC FIELD PERTURBATIONS; SHORT-TERM CHANGES; COSMIC-RAYS; STRATOSPHERE; CLIMATE</t>
  </si>
  <si>
    <t>The detail analysis of the aerological data from Vostok station (Antarctica) for 1978-1992 made it possible to find the dramatic changes of the troposphere temperature influenced by strong fluctuations of the interplanetary electric field E-SW. The warming is observed at ground level and cooling at h &gt; 10 km if the electric field of dawn-dusk direction is enhanced (when interplanetary magnetic field DeltaB(Z) &lt; 0). The opposite deviation of the atmospheric temperatures (cooling at the ground level and warming at h &gt; 10 km) is observed if the dawn-dusk electric field decreases (when DeltaB(Z) &gt; 0). There is a linear relationship between the value of DeltaE(SW) and ground temperature at Vostok station: the larger is leap in the E-SW the stronger is temperature deviation. The effect reaches maximum within one day and is damped equally quickly. The temperature deviations occur not only while passing the front of the interplanetary shocks but while crossing the layers of interaction between the quasi-stationary slow and fast solar wind fluxes those are not accompanied by the cosmic ray variations at all. The appropriate response to the E-SW changes is observed in tropospheric pressure and wind as well. It is suggested that the interplanetary electric field influences the katabatic system of atmospheric circulation, typical of the ice dome in winter Antarctic. (C) 2004 COSPAR. Published by Elsevier Ltd. All rights reserved.</t>
  </si>
  <si>
    <t>Arctic &amp; Antarctic Res Inst, St Petersburg 199397, Russia</t>
  </si>
  <si>
    <t>Arctic &amp; Antarctic Res Inst, 38 Bering Str, St Petersburg 199397, Russia.</t>
  </si>
  <si>
    <t>10.1016/j.asr.2003.06.034</t>
  </si>
  <si>
    <t>WOS:000225594400029</t>
  </si>
  <si>
    <t>Casaux, R; Bellizia, L; Baroni, A</t>
  </si>
  <si>
    <t>The diet of the Antarctic fur seal Arctocephalus gazella at Harmony Point, South Shetland Islands:: evidence of opportunistic foraging on penguins?</t>
  </si>
  <si>
    <t>HEARD ISLAND; FISH PREY; PENINSULA; WINTER; CONSUMPTION; AUTUMN; PETERS; SUMMER; FOOD</t>
  </si>
  <si>
    <t>The analysis of 523 scats collected at Harmony Point, Nelson Island, South Shetland Islands, from January to March in 2001 and 2002, indicated that the diet of non-breeding male Antarctic fur seals Arctocephalus gazella was diverse and composed of both pelagic and benthic-demersal prey. Overall, the Antarctic krill Euphausia superba and fish were the most frequent and numerous prey, followed by penguins, cephalopods (mainly squid) and gastropods. Myctophids represented 86.5% and 65.8% of the fish mass in 2001 and 2002 respectively, with Gymnoscopelus nicholsi being the main prey. Interestingly, penguin remains were present in 39.0% and 31.9% of the samples in 2001 and 2002, respectively and these birds were the main prey by reconstituted mass (74.0% and 76.1% in both seasons). The occurrence of penguins in the diet of A. gazella at Harmony Point is discussed in terms of the foraging strategy employed by seals and the temporal availability of prey.</t>
  </si>
  <si>
    <t>Inst Antartico Argentino, RA-1010 Buenos Aires, DF, Argentina; Consejo Nacl Invest Cient &amp; Tecn, RA-1033 Buenos Aires, DF, Argentina; Univ Buenos Aires, Fac Farm &amp; Bioquim, RA-1113 Buenos Aires, DF, Argentina</t>
  </si>
  <si>
    <t>Instituto Antartico Argentino; Consejo Nacional de Investigaciones Cientificas y Tecnicas (CONICET); University of Buenos Aires</t>
  </si>
  <si>
    <t>Casaux, R (corresponding author), Inst Antartico Argentino, Cerrito 1248, RA-1010 Buenos Aires, DF, Argentina.</t>
  </si>
  <si>
    <t>pipocasaux@infovia.com.ar</t>
  </si>
  <si>
    <t>10.1007/s00300-003-0559-z</t>
  </si>
  <si>
    <t>761QC</t>
  </si>
  <si>
    <t>WOS:000187918600001</t>
  </si>
  <si>
    <t>Corbisier, TN; Petti, MAV; Skowronski, RSP; Brito, TAS</t>
  </si>
  <si>
    <t>Trophic relationships in the nearshore zone of Martel Inlet (King George Island, Antarctica):: δ13C stable-isotope analysis</t>
  </si>
  <si>
    <t>SOUTH-SHETLAND-ISLANDS; WEDDELL-SEA; DELTA-N-15 ANALYSIS; EUPHAUSIA-SUPERBA; ORGANIC-MATTER; ADMIRALTY BAY; SIGNY ISLAND; FOOD-WEB; CARBON; DIVERSITY</t>
  </si>
  <si>
    <t>Carbon isotopic composition was used to assess the linkage between three different potential sources of energy and the community in the shallow coastal zone of Martel Inlet. Stable delta(13)C ratios ranged from -28.7parts per thousand for the zooplankton plus phytoplankton to -14.4parts per thousand for the grazer Nacella concinna. Microphytobenthos (-16.7parts per thousand) was considerably more enriched in C-13 than were suspended particulate matter (SPM) (-25.6parts per thousand) and macroalgal fragments (-23.6parts per thousand and -21.1parts per thousand), indicating that stable carbon isotope analysis might be used to discern the relative contribution of these sources of primary production. There is a benthic-pelagic coupling between plankton, benthic suspensivores, the ophiuroid Ophionotus victoriae and the icefish Chaenocephalus aceratus. Benthic grazers such as N. concinna, deposit feeders such as Yoldia eightsi and the nematodes showed a tight coupling with the microphytobenthos and the sediment. Some omnivorous/depositivorous polychaetes, echinoids, amphipods and the fish Notothenia coriiceps showed values close to the ratios of the macroalgal fragments. Benthic carnivores and/or scavengers were generally enriched over suspensivores and depleted in relation to microphytobenthos grazers, showing a considerable overlap in delta(13)C values throughout the food web, without any clear coupling with the primary sources of organic matter. The trophic web in the shallow zone of high benthic production and under seasonal ice cover in the Antarctic is more complex than it is in shelf areas, where SPM is the main food source. The soft-bottom community in the shallow zone of Martel Inlet is enriched in C-13 due to the significant input of carbon from the microphytobenthos and macroalgal fragments.</t>
  </si>
  <si>
    <t>Univ Sao Paulo, Inst Oceanog, Dept Oceanog Biol, BR-05508900 Sao Paulo, Brazil; Analyt Solut, Rio De Janeiro, Brazil; Minist Meio Ambiente, BR-70500 Brasilia, DF, Brazil</t>
  </si>
  <si>
    <t>Universidade de Sao Paulo</t>
  </si>
  <si>
    <t>Univ Sao Paulo, Inst Oceanog, Dept Oceanog Biol, BR-05508900 Sao Paulo, Brazil.</t>
  </si>
  <si>
    <t>tncorbis@usp.br</t>
  </si>
  <si>
    <t>Corbisier, Thais N./R-8255-2017; Petti, Monica A V/S-6367-2016</t>
  </si>
  <si>
    <t>10.1007/s00300-003-0567-z</t>
  </si>
  <si>
    <t>WOS:000187918600003</t>
  </si>
  <si>
    <t>Wienecke, B; Kirkwood, R; Robertson, G</t>
  </si>
  <si>
    <t>Pre-moult foraging trips and moult locations of Emperor penguins at the Mawson Coast</t>
  </si>
  <si>
    <t>REGION; WINTER</t>
  </si>
  <si>
    <t>The movements of nine breeding adult emperor penguins Aptenodytes forsteri from two colonies, Auster (67degrees 23'S 64degrees 04'E) and Taylor Glacier (67degrees 28'S 60degrees 54'E), were determined by satellite telemetry on their pre-moult foraging trips. While preparing for their annual moult the penguins travelled for 22-38 days and reached distances of up to 618 km from the colony. Six of the nine tracked penguins were followed to three different moult locations all to the west of their breeding colonies and near other known emperor penguins colonies, such as Kloa Point (66degrees38'S, 59degrees23'E) and Fold Island (67degrees17'S, 59degrees23'E). Sea-ice conditions changed throughout the tracking period; as the birds travelled north the sea-ice contracted south.</t>
  </si>
  <si>
    <t>Kirkwood, Roger/0000-0003-4221-4050</t>
  </si>
  <si>
    <t>10.1007/s00300-003-0574-0</t>
  </si>
  <si>
    <t>WOS:000187918600004</t>
  </si>
  <si>
    <t>Osman, LP; Hucke-Gaete, R; Moreno, CA; Torres, D</t>
  </si>
  <si>
    <t>Feeding ecology of Antarctic fur seals at Cape Shirreff, South Shetlands, Antarctica</t>
  </si>
  <si>
    <t>KRILL EUPHAUSIA-SUPERBA; ARCTOCEPHALUS-GAZELLA PETERS; SUMMER-AUTUMN PERIOD; KING-GEORGE-ISLAND; FISH PREY; BREEDING-SEASON; ORKNEY ISLANDS; LAURIE ISLAND; HEARD ISLAND; DIET</t>
  </si>
  <si>
    <t>This study examined the diet of Antarctic fur seals, Arctocephalus gazella, from an active breeding colony at Cape Shirreff (62degrees28'S, 60degrees48'W), Livingston Island, South Shetland Archipelago, Antarctica. It analysed faecal samples from five consecutive years (1997-2001) and length distribution of krill taken by trawl nets in the vicinity of Livingston Island. Antarctic krill, Euphausia superba, was the most frequent prey item, followed by several myctophid species (Gymnoscopelus nicholsi, Electrona antarctica and Electrona carlsbergi), squid and penguin remains. From 1998 to 2001, a modal progression in krill size was evident, suggesting that A. gazella was depending on a strong krill cohort, at least over the study period. Analysis of size distribution and size selectivity of krill preyed upon by fur seals suggests a preference for larger krill (&gt;34 mm), despite the broader size range of preys items available.</t>
  </si>
  <si>
    <t>Osman, LP (corresponding author), Univ Austral Chile, Inst Ecol &amp; Evoluc, Casilla 567, Valdivia, Chile.</t>
  </si>
  <si>
    <t>laylaosman@uach.cl</t>
  </si>
  <si>
    <t>10.1007/s00300-003-0555-3</t>
  </si>
  <si>
    <t>WOS:000187918600005</t>
  </si>
  <si>
    <t>Avenant, NL; Smith, VR</t>
  </si>
  <si>
    <t>Seasonal changes in age class structure and reproductive status of house mice on Marion Island (sub-Antarctic)</t>
  </si>
  <si>
    <t>MUS-MUSCULUS; CLIMATE-CHANGE; FIELD EXPERIMENT; DOMESTIC MICE; FOOD QUALITY; WILD; MOUSE; ADAPTATION; IMPACT; ADAPTABILITY</t>
  </si>
  <si>
    <t>Feral house mice on sub-Antarctic Marion Island become reproductively active (males scrotal, females with perforate vaginas or pregnant) at an age &gt;60 days and breed until death, which may occur at more than 13 months. Breeding is strongly seasonal; pregnant or lactating females were found only from October to May. A substantial proportion of mice old enough to breed in one summer overwinters to form a significant component of the breeding population the following summer but it is unlikely that any survive a second winter. The onset of breeding is closely synchronized with increasing day length but occurs about 2 months before mean temperature at the ground surface starts to increase significantly. Cessation of breeding is more closely associated with declining temperatures in late summer. For both males and females, the best correlation between reproductive activity and any of the temperature parameters measured was with average maximum temperature 1 cm above the ground. Competition for macroinvertebrate prey increases sharply in early winter due to high mouse numbers. The breeding season in 1991/1992 and 1992/1993 was at least 2 months longer than in 1979/1980, because the mice started breeding earlier, and stopped breeding later, in 1991/1993. The later cessation of breeding in 1991/1993 was despite the fact that there was a greater competition for macroinvertebrate prey, and that mean air temperatures during the early winter months were lower, than in 1979/1980.</t>
  </si>
  <si>
    <t>Univ Orange Free State, Dept Zool &amp; Entomol, ZA-9300 Bloemfontein, South Africa; Univ Stellenbosch, Dept Bot, ZA-7602 Matieland, South Africa</t>
  </si>
  <si>
    <t>University of the Free State; Stellenbosch University</t>
  </si>
  <si>
    <t>Avenant, NL (corresponding author), Natl Museum, POB 266, ZA-9300 Bloemfontein, South Africa.</t>
  </si>
  <si>
    <t>navenant@nasmus.co.za</t>
  </si>
  <si>
    <t>Avenant, Nico/0000-0002-5390-9010</t>
  </si>
  <si>
    <t>10.1007/s00300-003-0569-x</t>
  </si>
  <si>
    <t>WOS:000187918600006</t>
  </si>
  <si>
    <t>Barr, W; Krause, R; Pawlik, PM</t>
  </si>
  <si>
    <t>Chukchi sea, Southern Ocean, Kara Sea: the polar voyages of Captain Eduard Dallmann, whaler, trader, explorer 1830-96</t>
  </si>
  <si>
    <t>Eduard Dallmann, of Blumenthal on the lower Weser, went to sea at the age of 15 in 1845. He took command of his first ship, the whaling vessel Planet, in 1859 on a whaling voyage to the sperm whaling grounds in the Pacific and to the Sea of Okhotsk. Over the period 1864-66 he commanded the Hawaiian vessel W.C. Talbot on trading voyages to the Alaskan and Chukotka shores of the Bering and Chukchi seas. On 17 August 1866 he sighted and landed on Ostrov Vrangelya (Wrangel Island), a year prior to its sighting by Thomas Long, credited by many with the first sighting. For the following three years he commanded the whaling ship Count Bismarck on a whaling cruise to the tropics, the Sea of Okhotsk, and the Bering and Chukchi seas. In 1873-74 he made the first Antarctic whaling voyage aboard Groenland, and discovered and charted the west coasts of Anvers, Brabant, and Liege islands, as well as many smaller islands and straits including Bismarck Strait. He spent the 1875 whaling season as expert consultant, still aboard Groenland, on the Davis Strait and Baffin Bay whaling grounds. Then, to complete his career in polar waters, from 1877 to 1883 he made annual attempts to haul freight to the mouth of the Yenisey River, to be exchanged for grain cargoes brought down that river by barge. Of the seven attempts, only four were successful, the rest being foiled by ice conditions in the Kara Sea, and on the basis of this record, Baron von Knoop, the Russian entrepreneur who was financing the operation, decided to cut his losses. This ended Dallmann's career in polar waters.</t>
  </si>
  <si>
    <t>Univ Calgary, Arctic Inst N Amer, Calgary, AB T2N 1N4, Canada; Alfred Wegener Inst Polar &amp; Marine Res, D-2850 Bremerhaven, Germany</t>
  </si>
  <si>
    <t>University of Calgary; Helmholtz Association; Alfred Wegener Institute, Helmholtz Centre for Polar &amp; Marine Research</t>
  </si>
  <si>
    <t>Barr, W (corresponding author), Univ Calgary, Arctic Inst N Amer, 2500 Univ Dr NW, Calgary, AB T2N 1N4, Canada.</t>
  </si>
  <si>
    <t>10.1017/S003224740300139</t>
  </si>
  <si>
    <t>892FE</t>
  </si>
  <si>
    <t>WOS:000226634600001</t>
  </si>
  <si>
    <t>Moore, JK</t>
  </si>
  <si>
    <t>Bungled publicity: Little America, big America, and the rationale for non-claimancy, 1946-61</t>
  </si>
  <si>
    <t>POWER; WORLD</t>
  </si>
  <si>
    <t>Although indispensable for hastening the Antarctic Treaty of 1959, United States policy entailed contradictions that jeopardised its domestic ratification. Many senators opposed their government's adherence to the Hughes Doctrine of 1924, requiring sovereignty claims to be based on occupation rather than exploration. US exploration, they knew, had covered more territory than the combined total of the seven nation-states that already had declared their rights based on criteria other than occupation. The Department of State appreciated that public opinion, whether related to Antarctica, the Cold War, or both, might generate congressional pressure to reverse the non-claimant stance and thereby derail the 12-power negotiations even before they reached the conference stage. This article presents evident and hypothetical consequences of policymakers' refusal to address this dilemma, the likelihood of which accompanied an increasingly pro-claimant stance among journalists, as well as the personal exasperation of Admiral Richard E. Byrd.</t>
  </si>
  <si>
    <t>Moore, JK (corresponding author), Univ Tasmania, Inst Antarctic &amp; So Ocean Studies, GPO Box 252-77, Hobart, Tas 7001, Australia.</t>
  </si>
  <si>
    <t>10.1017/S0032247403003140</t>
  </si>
  <si>
    <t>WOS:000226634600002</t>
  </si>
  <si>
    <t>Roura, R</t>
  </si>
  <si>
    <t>Monitoring and remediation of hydrocarbon contamination at the former site of Greenpeace's World Park Base, Cape Evans, Ross Island, Antarctica</t>
  </si>
  <si>
    <t>This paper describes the results of a program for the monitoring and remediation of hydrocarbon contamination at the former Greenpeace base site, located at Cape Evans, Ross Island, Antarctica (77degrees38'S, 166degrees24'E). World Park Base operated year-round between 1987 and 1991. It was entirely removed in 1991-92. Increased levels of hydrocarbons occurred in sediments nearby the base. The total volume of fuel spilt during Greenpeace operations, estimated at less than 200 L, was less than what would now require reporting according to existing guidelines for national programs. Some fuel spills might have predated Greenpeace activities. Hydrocarbon contamination was highly localised and largely contained in the active layer. However, in one site hydrocarbons were detected to a depth of 70 cm into the permafrost. Low impact, low technology remedial action applied at some sites removed a significant percentage of fuel in the active layer, thus reducing the potential for secondary effects. The fuel that remains in the subsurface post-remediation, estimated in the order of some tens of litres, is contained in 'lenses' of contaminated sediment at the bottom of the active layer. These subsurface hydrocarbons may mobilise into the backfill cover above or in the upper part of the permafrost. Hydrocarbons were detected in previously uncontaminated backfill, which may have resulted from upward migration and re-deposition of hydrocarbons. During the monitoring period the interaction of contaminated sites with meltwater and aeolian processes did not significantly change the hydrocarbon distribution at spill sites, although limited mobilisation of hydrocarbons is likely to occur by these or other mechanisms. The difficulty of removing hydrocarbons from permafrost terrain underscores the legal (under the Protocol on Environmental Protection to the Antarctic Treaty) and ethical responsibility of all operators to avoid their release into the Antarctic wilderness, including the areas that have been subject to earlier impacts. A no-action approach might in some cases be the best option available to deal with contaminants in freezing ground, but it is not acceptable unless it is preceded by the thoughtful consideration of all other alternatives. Ultimately, there is a need to find environmentally friendly alternatives to using fossil fuels as the primary source of energy in Antarctic Stations.</t>
  </si>
  <si>
    <t>Antarctic So Ocean Coalit, NL-1056 VH Amsterdam, Netherlands</t>
  </si>
  <si>
    <t>Roura, R (corresponding author), Antarctic So Ocean Coalit, 44 2 P V D Doesstr, NL-1056 VH Amsterdam, Netherlands.</t>
  </si>
  <si>
    <t>ricardo.roura@worldonline.nl</t>
  </si>
  <si>
    <t>10.1017/S0032247403003292</t>
  </si>
  <si>
    <t>WOS:000226634600005</t>
  </si>
  <si>
    <t>Barr, S; Downie, R; Sánchez, R</t>
  </si>
  <si>
    <t>Whaler's cross on Deception Island</t>
  </si>
  <si>
    <t>The cemetery at Whalers Bay, Deception Island, was the largest in the Antarctic prior to being partially buried and partially washed away during a volcanic eruption in 1969. In 2002 a wooden cross at Argentina's Decepcion Station was identified as being that of the Norwegian whaler Peder Knapstad. It was removed, secured in a base, and re-erected at Whalers Bay.</t>
  </si>
  <si>
    <t>Directorate Cultural Heritage, N-0034 Oslo, Norway; British Antarctic Survey, Cambridge CB3 0ET, England; Direccion Nacl Antartico, Buenos Aires, DF, Argentina</t>
  </si>
  <si>
    <t>Barr, S (corresponding author), Directorate Cultural Heritage, PB 8196 Dep, N-0034 Oslo, Norway.</t>
  </si>
  <si>
    <t>10.1017/S0032247403003279</t>
  </si>
  <si>
    <t>WOS:000226634600006</t>
  </si>
  <si>
    <t>Verde, C; Cocca, E; de Pascale, D; Parisi, E; di Prisco, G</t>
  </si>
  <si>
    <t>Adaptations and lifestyle in polar marine environments: A biological challenge for the study of fish evolution</t>
  </si>
  <si>
    <t>POLAR RESEARCH</t>
  </si>
  <si>
    <t>ANTARCTIC NOTOTHENIOID FISH; ANTIFREEZE GLYCOPROTEIN; GLOBIN GENES; HEMOGLOBINLESS ICEFISHES; PHYLOGENIES; REMNANTS</t>
  </si>
  <si>
    <t>The climatic features of Antarctic waters are more extreme and constant than in the Arctic. The Antarctic has been isolated and cold longer than the Arctic. The polar ichthyofaunas differ in age, endemism, taxonomy, zoogeographic distinctiveness and physiological tolerance to environmental parameters. The Arctic is the connection between the Antarctic and the temperate-tropical systems. Paradigmatic comparisons of the pathways of adaptive evolution of fish from both poles address the oxygen-transport system and the antifreezes of northern and southern species. (i) Haemoglobin evolution has included adaptations at the biochemical, physiological and molecular levels. Within the study of the molecular bases of fish cold adaptation, and taking advantage of the information on haemoglobin amino acid sequence, we analysed the evolutionary history of the alpha and beta globins of Antarctic, Arctic and temperate haemoglobins as a basis for reconstructing phylogenetic relationships. In the trees, the constant physico-chemical conditions of the Antarctic waters are matched by clear grouping of globin sequences, whereas the variability typical of the Arctic ecosystem corresponds to high sequence variation, reflected by scattered intermediate positions between the Antarctic and non-Antarctic clades. (ii) Antifreeze (glyco)proteins and peptides allow polar fish to survive at sub-zero temperatures. In Antarctic Notothemoidei the antifreeze gene evolved from a trypsinogen-like serine protease gene. In the Arctic polar cod the genome contains genes which encode nearly identical proteins, but have evolved from a different genomic locus-a case of convergent evolution.</t>
  </si>
  <si>
    <t>g.diprisco@.ibp.cnr.it</t>
  </si>
  <si>
    <t>Cocca, Ennio/AAY-3817-2020</t>
  </si>
  <si>
    <t>Cocca, Ennio/0000-0003-2432-9663; VERDE, Cinzia/0000-0001-6185-282X</t>
  </si>
  <si>
    <t>0800-0395</t>
  </si>
  <si>
    <t>1751-8369</t>
  </si>
  <si>
    <t>POLAR RES</t>
  </si>
  <si>
    <t>Polar Res.</t>
  </si>
  <si>
    <t>10.1111/j.1751-8369.2004.tb00123.x</t>
  </si>
  <si>
    <t>Ecology; Geosciences, Multidisciplinary; Oceanography</t>
  </si>
  <si>
    <t>Environmental Sciences &amp; Ecology; Geology; Oceanography</t>
  </si>
  <si>
    <t>830EJ</t>
  </si>
  <si>
    <t>WOS:000222104100002</t>
  </si>
  <si>
    <t>Falk-Petersen, S; Haug, T; Nilssen, KT; Wold, A; Dahl, TM</t>
  </si>
  <si>
    <t>Lipids and trophic linkages in harp seal (Phoca groenlandica) from the eastern Barents Sea</t>
  </si>
  <si>
    <t>SOUTHERN ELEPHANT SEALS; FATTY-ACID-COMPOSITION; ANTARCTIC FUR SEALS; PINNIPED DIETS; BLUBBER; PREY; WHALES; STRATIFICATION; HISPIDA; HABITS</t>
  </si>
  <si>
    <t>Fatty acid profiles and lipid biomarkers from 20 harp seats were used to investigate the foraging ecology of harp seals and the transfer of energy through the Franz Josef Land-Novaya Zemlya food chain. High levels of the Calanus fatty acid trophic markers (FATMs) 20:1 (n-9) (mean 14.6%) and 22:1(n-11) (mean 6.5%), together with the typical dinoflagellate FATMs 22:6(n-3) (mean 6.5%) and C18PUFA (mean 5.5%), were found in blubber samples. Based on the analyses of the fatty acid profiles separated by principal component analysis, we confirmed the importance of polar cod (Boreogadus saida) and the pelagic amphipod Themisto libellula in the diet of harp seal. The high levels of 22:6(n-3), C18PUFA and C20 and C22 FATMs show that the harp seal lipids mainly originate from dinoflagellates consumed by Calanus copepods.</t>
  </si>
  <si>
    <t>Polar Environm Ctr, Norwegian Polar Inst, NO-9296 Tromso, Norway; Inst Marine Res, NO-9226 Tromso, Norway</t>
  </si>
  <si>
    <t>Norwegian Polar Institute; Institute of Marine Research - Norway</t>
  </si>
  <si>
    <t>Polar Environm Ctr, Norwegian Polar Inst, NO-9296 Tromso, Norway.</t>
  </si>
  <si>
    <t>stig@npolar.no</t>
  </si>
  <si>
    <t>Wold, Anette/JXN-7159-2024</t>
  </si>
  <si>
    <t>NORWEGIAN POLAR INST</t>
  </si>
  <si>
    <t>TROMSO</t>
  </si>
  <si>
    <t>POLAR ENVIRONMENTAL CENTRE, HJALMAR JOHANSENSGATE 14, TROMSO, FRAMSENTERET, NORWAY</t>
  </si>
  <si>
    <t>10.1111/j.1751-8369.2004.tb00128.x</t>
  </si>
  <si>
    <t>WOS:000222104100007</t>
  </si>
  <si>
    <t>Hernández, EA; Ferreyra, GA; Mac Cormack, WP</t>
  </si>
  <si>
    <t>Effect of solar radiation and the subsequent dark periods on two newly isolated and characterized Antarctic marine bacteria</t>
  </si>
  <si>
    <t>ULTRAVIOLET-RADIATION; UV-RADIATION; HYDROGEN-PEROXIDE; SEA-ICE; FRESH-WATER; BACTERIOPLANKTON; PHYTOPLANKTON; INHIBITION; RECOVERY; GROWTH</t>
  </si>
  <si>
    <t>Two strains of psychrotolerant Antarctic marine bacteria were isolated and characterized using biochemical and molecular techniques. Sequencing of 16S rRNA gene showed that UVvi strain belongs to the genus Arthrobacter whereas UVps strain is related to the Flexibacter-Cytophaga Bacteroides (FCB) group. Response of the strains to solar radiation was studied during the summer of 1999 in Potter Cove, near Jubany station (South Shetland Island, Antarctica). The effect of photosynthetically available radiation (PAR, 400 - 700 nm), ultraviolet-A (UV-A, 320 - 400 nm) and ultraviolet-B radiation (UV-B, 280 - 320 nm) on cell viability was studied using mixed cultures in quartz bottles covered with interferential filters and exposed to solar radiation. In all experiments, four treatments were used: dark (with light screened out), PAR (with UV radiation screened out), PAR+UV-A (UV-B screened out) and PAR+UV-A+UV-B. Under the assayed conditions, PAR+UV-A and PAR+UV-A+UV-B radiation showed similar negative effects on the viability of the studied strains. However, at the end of the exposure time, mortality values in PAR+UV-A+UV-B treatments were higher than those observed under PAR+UV-A treatments. In both PAR+UV-A and PAR+UV-A+UV-B treatments we observed high levels of hydrogen peroxide compared with the dark control. The Arthrobacter UVvi strain showed significant recovery in dark conditions after exposure to the PAR + UV-A but not after the PAR + U V-A + U V-B treatment. This strain proved to be more resistant to UV radiation than the FCB group-related UVps strain. The results showed that UV radiation has a deleterious effect on these Antarctic marine bacteria and also revealed that the analysed components of the Antarctic bacterioplankton may have different responses when they are exposed to the same irradiance conditions.</t>
  </si>
  <si>
    <t>Univ Buenos Aires, Lab Ind Microbiol &amp; Biotechnol, Sch Pharm &amp; Biochem, RA-C1113AAD Buenos Aires, DF, Argentina; Argentinean Antarctic Inst, Buenos Aires, DF, Argentina</t>
  </si>
  <si>
    <t>Univ Buenos Aires, Lab Ind Microbiol &amp; Biotechnol, Sch Pharm &amp; Biochem, Junin 956,6th Floor, RA-C1113AAD Buenos Aires, DF, Argentina.</t>
  </si>
  <si>
    <t>Mac Cormack, Walter/0000-0002-5280-5463; Ferreyra, Gustavo Adolfo/0000-0003-1953-5067</t>
  </si>
  <si>
    <t>10.1111/j.1751-8369.2004.tb00130.x</t>
  </si>
  <si>
    <t>WOS:000222104100009</t>
  </si>
  <si>
    <t>De Domenico, M; Lo Giudice, A; Michaud, L; Saitta, M; Bruni, V</t>
  </si>
  <si>
    <t>Diesel oil and PCB-degrading psychrotrophic bacteria isolated from antarctic seawaters (Terra Nova Bay, Ross Sea)</t>
  </si>
  <si>
    <t>RHODOCOCCUS SP; POLYCHLORINATED-BIPHENYLS; CRUDE-OIL; PETROLEUM-HYDROCARBONS; MICROBIAL-DEGRADATION; LOW-TEMPERATURES; FATTY-ACIDS; ARCTIC SOIL; BIODEGRADATION; ALKANE</t>
  </si>
  <si>
    <t>Fifty-seven Antarctic marine bacteria were examined for their ability to degrade commercial diesel oil as the sole organic substrate at both 4degreesC and 20degreesC. Based on the preliminary screening, two isolates (B11 and B15) with high capacity to degrade diesel oil were selected and their biodegradation efficiency was quantified by gas chromatographic analysis. As expected for psychrotrophs, diesel oil biodegradation was slower at 4degreesC than at 20degreesC. The two strains also mineralized the C-28 n-paraffin octacosane at 20degreesC and polychlorinated biphenyls (PCBs) at 4degreesC and 20degreesC.</t>
  </si>
  <si>
    <t>Univ Messina, Dept Anim Biol &amp; Marine Ecol, IT-98166 Messina, Italy; Univ Messina, Dept Organ &amp; Biol Chem, IT-98166 Messina, Italy</t>
  </si>
  <si>
    <t>University of Messina; University of Messina</t>
  </si>
  <si>
    <t>Univ Messina, Dept Anim Biol &amp; Marine Ecol, Salita Sperone 31, IT-98166 Messina, Italy.</t>
  </si>
  <si>
    <t>vivia.bruni@unime.it</t>
  </si>
  <si>
    <t>Saitta, Marcello/0000-0001-7384-9126</t>
  </si>
  <si>
    <t>10.3402/polar.v23i2.6275</t>
  </si>
  <si>
    <t>883YQ</t>
  </si>
  <si>
    <t>WOS:000226052200004</t>
  </si>
  <si>
    <t>Rogers, AD; Lambshead, PJD</t>
  </si>
  <si>
    <t>Cook, RC; Hunt, DJ</t>
  </si>
  <si>
    <t>Rogers, Alex D.; Lambshead, P. John D.</t>
  </si>
  <si>
    <t>Molecular studies of nematode diversity: past, present and future</t>
  </si>
  <si>
    <t>PROCEEDING OF THE FOURTH INTERNATIONAL CONGRESS OF NEMATOLOGY</t>
  </si>
  <si>
    <t>Nematology Monographs and Perspectives</t>
  </si>
  <si>
    <t>4th International Nematology Congress</t>
  </si>
  <si>
    <t>JUN 08-13, 2002</t>
  </si>
  <si>
    <t>Tenerife, SPAIN</t>
  </si>
  <si>
    <t>GRADIENT GEL-ELECTROPHORESIS; POLYMERASE CHAIN-REACTION; RIBOSOMAL-RNA; IDENTIFICATION; AMPLIFICATION; RDNA; GENES; SEA</t>
  </si>
  <si>
    <t>Identification and monitoring of nematode species diversity from environmental samples is time-consuming using morphological taxonomic methods. In nematodes it is also subject to inaccuracies and inconsistency between taxonomists arising from a lack of suitable easily observable morphological characters for species identification, marked intraspecific morphological variation encountered in some species and the limited number of species that have been described. Molecular methods offer a rapid and objective method for species identification. Such methods include the analysis of environmental clone libraries, DGGE, SSCP or t-RFLP analysis of PCR amplification products for rRNA encoding genes. There may be biases introduced during PCR amplification of samples, in cloning of mixed samples, or insensitivity to species that only form a small proportion of the nematodes within a sample. New technological developments from the field of functional genomics may provide alternative and accurate methods for rapid, large-scale analysis of species diversity within environmental samples, but they would need considerable development. In this paper, we will discuss several molecular methods currently employed to study community diversity and explore the implications of future technological developments for marine nematode studies.</t>
  </si>
  <si>
    <t>Rogers, AD (corresponding author), British Antarctic Survey, High Cross,Madingley Rd, Cambridge CB3 0ET, England.</t>
  </si>
  <si>
    <t>adr2@bas.ac.uk</t>
  </si>
  <si>
    <t>Lambshead, PJD/AAC-6757-2021</t>
  </si>
  <si>
    <t>PO BOX 9000, 2300 PA LEIDEN, NETHERLANDS</t>
  </si>
  <si>
    <t>1573-5869</t>
  </si>
  <si>
    <t>90-04-13921-4</t>
  </si>
  <si>
    <t>NEMATOL MONOGR PERSP</t>
  </si>
  <si>
    <t>Nematol. Monogr. Perspect.</t>
  </si>
  <si>
    <t>Plant Sciences; Parasitology; Zoology</t>
  </si>
  <si>
    <t>BFH69</t>
  </si>
  <si>
    <t>WOS:000241893000065</t>
  </si>
  <si>
    <t>Target strength pattern measurements of Antarctic krill (Euphausia superba) by split-beam method in a small tank</t>
  </si>
  <si>
    <t>PROCEEDINGS OF THE 2004 INTERNATIONAL SYMPOSIUM ON UNDERWATER TECHNOLOGY</t>
  </si>
  <si>
    <t>4th International Symposium on Underwater Technology</t>
  </si>
  <si>
    <t>APR 20-23, 2004</t>
  </si>
  <si>
    <t>Taipei, TAIWAN</t>
  </si>
  <si>
    <t>Antarctic krill; target strength; split-beam method; small tank</t>
  </si>
  <si>
    <t>ACOUSTIC SCATTERING; SOUND-SCATTERING; 120 KHZ; ZOOPLANKTON; ORIENTATION; MODEL</t>
  </si>
  <si>
    <t>Target strength (TS) measurements were conducted for Antarctic krill (Euphausia superba) at 70 kHz on board RTV Umitaka-maru of Tokyo University of Marine Science and Technology in February 2003 during the Southern Ocean survey and TS patterns of 12 live Antarctic krill were successfully measured. We used a new precise method using the split-beam method in a small tank for TS measurement of small-size animals. We compared the measured results with the theoretical TS patterns by the Distorted Wave Born Approximation-based deformed cylinder model (DWBA model) and confirmed a good agreement at near the main lobe, however, the measured results were higher than the model predictions in the side lobe regions. Although the discrepancy was examined from several aspects such as body bending and scattering from pleopods, any factor was not decisive. In other words, it is likely that the discrepancy is caused by some factors combined. The Stochastic version of the DWBA model showed a reasonable agreement with the measured TS in the side lobe regions. This phenomenon should be examined further from physical view points.</t>
  </si>
  <si>
    <t>0-7803-8541-1</t>
  </si>
  <si>
    <t>10.1109/UT.2004.1405515</t>
  </si>
  <si>
    <t>Engineering, Ocean</t>
  </si>
  <si>
    <t>BBR41</t>
  </si>
  <si>
    <t>WOS:000227356400023</t>
  </si>
  <si>
    <t>Voelker, RP; Sutherland, A; Owen, H; Olsgaard, P; Holik, J; John, JWS; Iyerusalimskiy, A; Karnes, DB</t>
  </si>
  <si>
    <t>Chung, JS; Izumiyama, K; Sayed, M; Hong, SW</t>
  </si>
  <si>
    <t>New generation polar research vessel project initiated</t>
  </si>
  <si>
    <t>PROCEEDINGS OF THE FOURTEENTH (2004) INTERNATIONAL OFFSHORE AND POLAR ENGINEERING CONFERENCE, VOL 1</t>
  </si>
  <si>
    <t>International Offshore and Polar Engineering Conference Proceedings</t>
  </si>
  <si>
    <t>14th International Offshore and Polar Engineering Conference (ISOPE 2004)</t>
  </si>
  <si>
    <t>MAY 23-28, 2004</t>
  </si>
  <si>
    <t>Toulon, FRANCE</t>
  </si>
  <si>
    <t>research vessel; antarctic; polar; icebreaker</t>
  </si>
  <si>
    <t>The U.S. National Science Foundation (NSF) has initiated a program to determine science and operational requirements for a new generation Polar Research Vessel (PRV) in the Antarctic. These requirements form the basis to study and investigate vessel characteristics and features that satisfy those requirements. This paper describes some of the results from the initial effort.</t>
  </si>
  <si>
    <t>US Maritime Adm, Washington, DC USA</t>
  </si>
  <si>
    <t>Voelker, RP (corresponding author), US Maritime Adm, Washington, DC USA.</t>
  </si>
  <si>
    <t>INTERNATIONAL SOCIETY OFFSHORE&amp; POLAR ENGINEERS</t>
  </si>
  <si>
    <t>CUPERTINO</t>
  </si>
  <si>
    <t>PO BOX 189, CUPERTINO, CA 95015-0189 USA</t>
  </si>
  <si>
    <t>1098-6189</t>
  </si>
  <si>
    <t>1-880653-62-1</t>
  </si>
  <si>
    <t>INT OFFSHORE POLAR E</t>
  </si>
  <si>
    <t>Energy &amp; Fuels; Engineering, Ocean; Oceanography</t>
  </si>
  <si>
    <t>Energy &amp; Fuels; Engineering; Oceanography</t>
  </si>
  <si>
    <t>BAV47</t>
  </si>
  <si>
    <t>WOS:000223780000118</t>
  </si>
  <si>
    <t>Cenedese, S; Calcara, M; D'Anna, G; Evers, KU; Favali, P; Gasparoni, F</t>
  </si>
  <si>
    <t>MABEL - The first seafloor observatory for multisciplinary long-term monitoring in polar environment</t>
  </si>
  <si>
    <t>seafloor observatories; Antarctica; monitoring; basin tests</t>
  </si>
  <si>
    <t>In the framework of the Italian Antarctic Program, a group of Italian and German Research Institutions and Industrial Companies are developing a multidisciplinary seafloor observatory (MABEL), for continuous and long-term measurements of geophysical, oceanographic, chemical and biological parameters in Antarctic waters. Conceived as an innovative tool for scientific research, MABEL will represent the first application of a seafloor observatory in a polar area. Its development represents a technological challenge, combining aspects like: spin-off of existing projects; engineering work for the development and adaptation of systems/components to operate in a hostile environment like deep polar waters; test and qualification activities in simulated and real conditions.</t>
  </si>
  <si>
    <t>Tecnomare SpA, Venice, Italy</t>
  </si>
  <si>
    <t>Cenedese, S (corresponding author), Tecnomare SpA, Venice, Italy.</t>
  </si>
  <si>
    <t>Favali, Paolo/AAR-5166-2021</t>
  </si>
  <si>
    <t>D'ANNA, Giuseppe/0000-0002-4642-3901</t>
  </si>
  <si>
    <t>WOS:000223780000119</t>
  </si>
  <si>
    <t>Ushio, S</t>
  </si>
  <si>
    <t>Sea ice variations in Lutzow-Holmbukta, Antarctica, derived from ice navigation log during the period of 1983-2002</t>
  </si>
  <si>
    <t>Antarctic; sea ice; ice navigation; ramming</t>
  </si>
  <si>
    <t>Sea ice conditions in Liitzow-Holmbukta, Antarctica, have been investigated using ice navigation log from the Japanese icebreaker. Not only basic information such as ice thickness and snow depth, but also ramming icebreaking data are analyzed. The penetrating distances by ramming reflect difficulty for ice navigation and show distinctly interannual variations from 1983 to 2002. Characteristics of the distances variation properly coincide with frequencies of landfast-ice breakup events in the bay.</t>
  </si>
  <si>
    <t>Natl Inst Polar Res, Tokyo 173, Japan</t>
  </si>
  <si>
    <t>Research Organization of Information &amp; Systems (ROIS); National Institute of Polar Research (NIPR) - Japan</t>
  </si>
  <si>
    <t>Ushio, S (corresponding author), Natl Inst Polar Res, Tokyo 173, Japan.</t>
  </si>
  <si>
    <t>WOS:000223780000121</t>
  </si>
  <si>
    <t>Tateyama, K; Uto, S; Shirasawa, K; Enomoto, H</t>
  </si>
  <si>
    <t>Electromagnetic-inductive measurements for the undeformed and deformed sea-ice and snow in the east Antarctic</t>
  </si>
  <si>
    <t>sea-ice; thickness; electromagnetic-inductive measurement; Antarctic</t>
  </si>
  <si>
    <t>THICKNESS MEASUREMENTS; SUMMER; WINTER</t>
  </si>
  <si>
    <t>Indirect ice and snow thickness measurements were carried out for the winter and spring Antarctic sea ice by using the electromagnetic-inductive (EMI) device on the East Antarctic pack ice area. This study investigated the effect of saline slush snow layer over the sea ice and seawater-filled gap to the snow and sea ice thickness measured by EMI. A result shows underestimations of EMI thickness, which might be caused by high conductive seawater-filled gaps between ice floes, appeared on thicker ice over 3.5 m. This study improved the validity of applying a multi-rafted ice model for these ice conditions.</t>
  </si>
  <si>
    <t>Hokkaido Univ, Inst Low Temp Sci, Sea Ice Res Lab, Mombetsu, Hokkaido, Japan</t>
  </si>
  <si>
    <t>Hokkaido University</t>
  </si>
  <si>
    <t>Tateyama, K (corresponding author), Hokkaido Univ, Inst Low Temp Sci, Sea Ice Res Lab, Mombetsu, Hokkaido, Japan.</t>
  </si>
  <si>
    <t>WOS:000223780000122</t>
  </si>
  <si>
    <t>Edwards, HGM; Moody, CA; Villar, SEJ; Dickensheets, DL; Wynn-Williams, LDD</t>
  </si>
  <si>
    <t>Harris, RA; Ouwehand, L</t>
  </si>
  <si>
    <t>Antarctic analogues for Mars exploration: A Raman spectroscopic study of biogeological signatures.</t>
  </si>
  <si>
    <t>PROCEEDINGS OF THE III EUROPEAN WORKSHOP ON EXO-ASTROBIOLOGY: MARS: THE SEARCH FOR LIFE</t>
  </si>
  <si>
    <t>ESA Special Publications</t>
  </si>
  <si>
    <t>3rd European Workshop on Exo/Astrobiology</t>
  </si>
  <si>
    <t>NOV 18-20, 2003</t>
  </si>
  <si>
    <t>Ctr Astrobiol, Madrid, SPAIN</t>
  </si>
  <si>
    <t>Ctr Astrobiol</t>
  </si>
  <si>
    <t>IN-SITU; MICROORGANISMS; SANDSTONE; LIGHT</t>
  </si>
  <si>
    <t>There is now much interest in the construction of portable Raman systems for the analysis of cyanobacterial and lichen communities in the field; to this extent, Raman spectra obtained with laboratory-based systems operating at different wavelengths have been evaluated for potential fieldwork applications of miniaturized units. Selected test specimens of the cyanobacterial Nostoc commune, epilithic lichens Acarospora chlorophana, and Caloplaca saxicola and the endolithic Chroococcidiopsis from Antarctic sites have been examined in the present preliminary studies. Although some organisms gave useable Raman spectra with short-wavelength lasers, 1064 nm was the only excitation that was consistently excellent for all organisms. We conclude that a miniaturized Raman spectrometer, operating at layer wavelength excitation, is the optimal instrument for in situ studies of pigmented communities at the limits of life on Earth. This has practical potential for the quest for biomolecules residual from any former surface or subsurface life on Mars.</t>
  </si>
  <si>
    <t>h.g.m.edwards@bradford.ac.uk</t>
  </si>
  <si>
    <t>ESA PUBLICATIONS DIVISION C/O ESTEC</t>
  </si>
  <si>
    <t>2200 AG NOORDWIJK</t>
  </si>
  <si>
    <t>PO BOX 299, 2200 AG NOORDWIJK, NETHERLANDS</t>
  </si>
  <si>
    <t>0379-6566</t>
  </si>
  <si>
    <t>92-9092-856-5</t>
  </si>
  <si>
    <t>ESA SPEC PUBL</t>
  </si>
  <si>
    <t>BAD24</t>
  </si>
  <si>
    <t>WOS:000221643000007</t>
  </si>
  <si>
    <t>Wierzchos, J; de los Ríos, A; Ascaso, C</t>
  </si>
  <si>
    <t>Detecting life traces in extreme cold and dry conditions on earth:: Possible analogues of life on Mars</t>
  </si>
  <si>
    <t>ESA SPECIAL PUBLICATIONS</t>
  </si>
  <si>
    <t>MICROENVIRONMENTS; MICROHABITATS; BIOMARKERS; DESERT</t>
  </si>
  <si>
    <t>Microbial life in the harsh conditions of Antarctica's cold desert may be considered an analogue of potential life on early Mars. The microbial ecology of these lithobiontic, extremophile microorganism communities could provide clues to the challenging question of how life (if ever present) became extinct on Mars. Application of the SEM-BSE plus EDS technique has allowed us to demonstrate the presence of microbial fossils and biomarkers within Antarctic sandstone rocks collected from Ross Desert for the first time. There is an obvious need for extensive further work on live, dead, mummified and mineralized lithobiontic Antarctic microorganisms. The in situ examination of the interior of Antarctic rocks might represent the best option available to improve our knowledge on these extreme cold and dry microbial habitats and it is foreseen that this type of work will have applications in future astrobiological investigations performed on geological material obtained from Mars.</t>
  </si>
  <si>
    <t>Univ Lleida, Serv Microscopia Elect, Lleida 25198, Spain</t>
  </si>
  <si>
    <t>Universitat de Lleida</t>
  </si>
  <si>
    <t>Wierzchos, J (corresponding author), Univ Lleida, Serv Microscopia Elect, C Rovira Roure 44, Lleida 25198, Spain.</t>
  </si>
  <si>
    <t>Ascaso, Carmen/F-5369-2011; Wierzchos, Jacek/F-7036-2011</t>
  </si>
  <si>
    <t>Ascaso, Carmen/0000-0001-9665-193X; Wierzchos, Jacek/0000-0003-3084-3837</t>
  </si>
  <si>
    <t>ESA SP PUBL</t>
  </si>
  <si>
    <t>WOS:000221643000015</t>
  </si>
  <si>
    <t>Córdoba-Jabonero, C; Patel, MR; Zorzano, MP; Cockell, CS</t>
  </si>
  <si>
    <t>Assessments for possible habitability in Martian polar environments:: Fundaments based in ice screening of UV radiation</t>
  </si>
  <si>
    <t>MARS</t>
  </si>
  <si>
    <t>We present a study of the solar UV radiation in Martian high latitude environments covered by ice, where the UV propagation through the polar cover depends on the ice radiative properties (layers of H2O or CO2 ice). But also we will investigate the changes in the subsurface UV levels induced by the seasonal variations of solar UV flux on the surface, as well as by the seasonal freezing-thawing and related CO2 sublimation processes. The biological dose relative to DNA-damage will be also estimated for biological implication assessments. All these studies will be compared with the biological dose received in the Antarctic snow-ice covered environment which is seasonally exposed to high UV radiation levels (formation of ozone hole), where the environmental conditions could be similar to those present on Mars (Cockell et al., 2002; Cockell and Cordoba-Jabonero, 2004).</t>
  </si>
  <si>
    <t>CSIC, INTA, Ctr Astrobiol, Madrid 28850, Spain</t>
  </si>
  <si>
    <t>Consejo Superior de Investigaciones Cientificas (CSIC); CSIC - Centro de Astrobiologia (INTA)</t>
  </si>
  <si>
    <t>Córdoba-Jabonero, C (corresponding author), CSIC, INTA, Ctr Astrobiol, Ctra Ajalvir Km 4,Torrejon Ardoz, Madrid 28850, Spain.</t>
  </si>
  <si>
    <t>Zorzano, María-Paz/F-2184-2015; Cordoba-Jabonero, Carmen/J-6331-2014</t>
  </si>
  <si>
    <t>Zorzano, María-Paz/0000-0002-4492-9650; Cordoba-Jabonero, Carmen/0000-0003-4859-471X</t>
  </si>
  <si>
    <t>WOS:000221643000048</t>
  </si>
  <si>
    <t>Moody, CD; Edwards, HGM; Worland, MR</t>
  </si>
  <si>
    <t>Raman spectroscopic studies of antarctic endoliths and epiliths</t>
  </si>
  <si>
    <t>Antarctica has long been recognised as a putative analogue for Mars' past ([1]) and any life there is surviving in extreme conditions. Raman spectroscopy has been proved as a suitable method of analysis of lichens, ([2]) as it does not destroy the sample, can be used in situ and does not require any sample preparation. In this report the progression of life from extreme to very extreme conditions has been investigated. Cyanobacterial mats live on the surface in areas where water is available. As water becomes less available epilithic lichens become the main life form, and as conditions get more extreme the lichens grow as chasmoliths and endoliths.</t>
  </si>
  <si>
    <t>Univ Bradford, Bradford BD7 1DP, W Yorkshire, England</t>
  </si>
  <si>
    <t>Moody, CD (corresponding author), Univ Bradford, Bradford BD7 1DP, W Yorkshire, England.</t>
  </si>
  <si>
    <t>c.d.moody1@bradford.ac.uk</t>
  </si>
  <si>
    <t>WOS:000221643000076</t>
  </si>
  <si>
    <t>Onofri, S; Cockell, C; Edwards, H; Friedmann, EI; Billi, D; Zucconi, L; Selbmann, L; de Hoog, S; Sterflinger, K; Grady, M</t>
  </si>
  <si>
    <t>Lithobionts - Ecological niches for life in lithic habitats: Models for searching past life on Mars</t>
  </si>
  <si>
    <t>ANTARCTIC COLD DESERT</t>
  </si>
  <si>
    <t>In the McMurdo Dry Valleys, Antarctica, the closest terrestrial analogue of Mars for the extreme environmental conditions, microbial communities live in the porosity of rocks in order to escape the harsh outside climate. These extremotolerant microorganisms are able to tolerate high desiccation, strong thermal fluctuations as well as very low temperature and high UV exposure; they live on the surface of colonized rocks as macroscopically visible patchworks, and also the whole landscape appears suggestively sculptured by their activities. The past activities of the community can be indicated by the presence of characteristic marks also after the microbial life has become extinct. Using the morphological, chemical and molecular information obtained from the study of these microorganisms, as well as of the colonized substratum we propose to develop a multidimensional model that could be crucial tool in exobiological studies.</t>
  </si>
  <si>
    <t>Univ Tuscia, Dept Environm Sci, Viterbo, Italy</t>
  </si>
  <si>
    <t>Onofri, S (corresponding author), Univ Tuscia, Dept Environm Sci, Viterbo, Italy.</t>
  </si>
  <si>
    <t>Zucconi, L./0000-0001-9793-2303; Selbmann, Laura/0000-0002-8967-3329; Sterflinger, Katja/0000-0002-0296-6728; BILLI, DANIELA/0000-0002-9363-2415; ONOFRI, Silvano/0000-0001-8872-1440; Grady, Monica/0000-0002-4055-533X</t>
  </si>
  <si>
    <t>WOS:000221643000080</t>
  </si>
  <si>
    <t>Deng, SK; Sun, B</t>
  </si>
  <si>
    <t>Slob, EC; Yarovoy, A; Rhebergen, J</t>
  </si>
  <si>
    <t>Ice-surface based radar detection revealed the basic internal structure characteristics of Amery Ice Shelf, East Antarctic</t>
  </si>
  <si>
    <t>PROCEEDINGS OF THE TENTH INTERNATIONAL CONFERENCE ON GROUND PENETRATING RADAR, VOLS 1 AND 2</t>
  </si>
  <si>
    <t>10th International Conference on Ground Penetrating Radar (GPR 2004)</t>
  </si>
  <si>
    <t>JUN 21-24, 2004</t>
  </si>
  <si>
    <t>Delft Univ Technol, Delft, NETHERLANDS</t>
  </si>
  <si>
    <t>Delft Univ Technol</t>
  </si>
  <si>
    <t>Amery Ice Shelf (AIS); GPR; internal structure; refreezing area; ablating area</t>
  </si>
  <si>
    <t>SEA ICE</t>
  </si>
  <si>
    <t>During the 2002-2003 China Antarctic Expedition, to investigate the interior structure of Amery Ice Shelf (AIS), East Antarctica, we performed ground-penetrating radar (GPR) survey at seven designed locations across AIS. GPR data can be used to determine precisely the thickness of shallow snow accumulation layer and the depth and morphology of meteoric-marine ice boundary. The structural change in the ice layer causes permittivity and conductivity changes, which can be clearly reflected in the radar profiles. The morphological difference of the meteoric-marine ice boundary between the two radar profiles with different runs at the same location is related to the direction of basal ocean circulation. The reflections in GPR profiles from meteoric-marine ice boundary at different locations on AIS have noticeably dynamic differences that reflect the electric properties differences of marine ice under different parts of AIS, which indicates the structural and component difference in marine ice under different part of the refreezing area on AIS. Because of the lower conductivity of the marine ice under some survey locations, radar wave can penetrate greater depth at these positions, so the radar detection can obtain the reflection from the deeper inner part of marine ice. Using the collected GPR data, one can delineate the boundary between refreezing area and ablating area under AIS.</t>
  </si>
  <si>
    <t>China Univ Geosci, Inst Geophys &amp; Geomat, Wuhan, Peoples R China</t>
  </si>
  <si>
    <t>China University of Geosciences</t>
  </si>
  <si>
    <t>China Univ Geosci, Inst Geophys &amp; Geomat, Wuhan, Peoples R China.</t>
  </si>
  <si>
    <t>dsk6309@sina.com</t>
  </si>
  <si>
    <t>Physics, Applied; Imaging Science &amp; Photographic Technology</t>
  </si>
  <si>
    <t>Physics; Imaging Science &amp; Photographic Technology</t>
  </si>
  <si>
    <t>BBJ19</t>
  </si>
  <si>
    <t>WOS:000225736800182</t>
  </si>
  <si>
    <t>Wang, ZY; Zhou, SK</t>
  </si>
  <si>
    <t>Polar stratospheric clouds and its heterogeneous chemistry</t>
  </si>
  <si>
    <t>PROGRESS IN CHEMISTRY</t>
  </si>
  <si>
    <t>Chinese</t>
  </si>
  <si>
    <t>Antarctic ozone hole; polar stratospheric clouds; heterogeneous chemistry</t>
  </si>
  <si>
    <t>ACID; CLONO2; NUCLEATION; DEPLETION; AEROSOL; H2O; HCL</t>
  </si>
  <si>
    <t>The formation of Antarctic ozone hole is mainly related to the polar stratospheric clouds and the processes of heterogeneous chemistry. In Antarctic polar stratospheric clouds, there are sulfuric acid aerosols, some solid and liquid particles related to HNO3/H2SO4/H2O, and ice crystals of water. The heterogeneous chemical reactions will occur on the surface of polar stratospheric clouds particles. On one hand, they make ClONO2 to react with some molecules to release Cl-2 and HOCl, both of which in turn release Cl atoms that destroy ozone. On the other hand, they convert stratospheric nitrogen compounds (N2O5, NO and NO2) to HNO3, which will be removed out from stratosphere in the way of solid particles. The catalytic cycles of ClO dimmer, and co-reaction of ClO-BrO will be enhanced by the release of Cl atoms, and which will promote the formation of Antarctic ozone hole. The emphases of this paper will be placed on introducing effects of polar stratospheric clouds and its heterogeneous chemistry on the ozone depletion process in polar stratosphere, and make a clear understanding of heterogeneous chemistry occurred on surface of polar stratospheric clouds.</t>
  </si>
  <si>
    <t>Chinese Acad Sci, Anhui Inst Opt &amp; Fine Mech, Lab Environm Spect, Hefei 230031, Peoples R China; Univ Sci &amp; Technol China, Natl Synchrotron Radiat Lab, Hefei 230029, Peoples R China</t>
  </si>
  <si>
    <t>Chinese Academy of Sciences; Hefei Institutes of Physical Science, CAS; Anhui Institute of Optics &amp; Fine Mechanics (AIOFM), CAS; Chinese Academy of Sciences; University of Science &amp; Technology of China, CAS</t>
  </si>
  <si>
    <t>Chinese Acad Sci, Anhui Inst Opt &amp; Fine Mech, Lab Environm Spect, Hefei 230031, Peoples R China.</t>
  </si>
  <si>
    <t>zyw@aiofm.ac.cn</t>
  </si>
  <si>
    <t>CHINESE ACAD SCIENCES</t>
  </si>
  <si>
    <t>NO. 33 BEISIHUANXILU, ZHONGGUANCUN, BEIJING 100080, PEOPLES R CHINA</t>
  </si>
  <si>
    <t>1005-281X</t>
  </si>
  <si>
    <t>PROG CHEM</t>
  </si>
  <si>
    <t>Prog. Chem.</t>
  </si>
  <si>
    <t>772DV</t>
  </si>
  <si>
    <t>WOS:000188826100008</t>
  </si>
  <si>
    <t>Chen, C; Xia, JH</t>
  </si>
  <si>
    <t>The basic internal structure characteristics of Amery Ice Shelf, East Antarctic, determined from the ground-penetrating radar detection</t>
  </si>
  <si>
    <t>PROGRESS IN ENVIRONMENTAL AND ENGINEERING GEOPHYSICS</t>
  </si>
  <si>
    <t>International Conference on Environmental and Engineering Geophysics</t>
  </si>
  <si>
    <t>JUN 06-09, 2004</t>
  </si>
  <si>
    <t>China Univ Geosci, Wuhan, PEOPLES R CHINA</t>
  </si>
  <si>
    <t>China Univ Geosci</t>
  </si>
  <si>
    <t>SEA ICE; BENEATH; SHEETS</t>
  </si>
  <si>
    <t>During the 2002-2003 China Antarctic Expedition, to investigate the interior structure of Amery Ice Shelf (AIS), East Antarctica, we performed ground-penetrating radar (#GPR) survey at seven designed locations across AIS. GPR data can be used to determine precisely the thickness of shallow snow accumulation layer and the depth and morphology of meteoric-marine ice boundary. The structural change in the ice layer causes permittivity and conductivity changes, which can be clearly reflected in the radar profiles. The morphological difference of the meteoric-marine ice boundary between the two radar profiles with different runs at the same location is related to the direction of basal ocean circulation. The reflections in GPR profiles from meteoric-marine ice boundary at different locations on AIS have noticeably dynamic differences that reflect the electric properties differences of marine ice under different parts of AIS, which indicates the structural and component difference in marine ice under different part of the refreezing area on AIS. Because of the lower conductivity of the marine ice under some survey locations, radar wave can penetrate greater depth at these positions, so the radar detection can obtain the reflection from the deeper inner part of marine ice. Using the collected GPR data, we delineate the boundary between refreezing area and ablating area under AIS.</t>
  </si>
  <si>
    <t>China Univ Geosci, Inst Geophys &amp; Geomat, Wuhan 430074, Peoples R China</t>
  </si>
  <si>
    <t>Deng, SK (corresponding author), China Univ Geosci, Inst Geophys &amp; Geomat, Wuhan 430074, Peoples R China.</t>
  </si>
  <si>
    <t>MONMOUTH JUNCTION</t>
  </si>
  <si>
    <t>2031 US HIGHWAY 130 STE F, MONMOUTH JUNCTION, NJ 08852-3014 USA</t>
  </si>
  <si>
    <t>1-880132-97-4</t>
  </si>
  <si>
    <t>Geochemistry &amp; Geophysics; Engineering, Environmental; Engineering, Geological</t>
  </si>
  <si>
    <t>BAP80</t>
  </si>
  <si>
    <t>WOS:000223170000039</t>
  </si>
  <si>
    <t>Ivanov, VV; Shapiro, GI; Huthnance, JM; Aleynik, DL; Golovin, PN</t>
  </si>
  <si>
    <t>Cascades of dense water around the world ocean</t>
  </si>
  <si>
    <t>PROGRESS IN OCEANOGRAPHY</t>
  </si>
  <si>
    <t>thermohaline circulation; shelf edge dynamics; convection; overflow; density sections; data analysis</t>
  </si>
  <si>
    <t>WESTERN WEDDELL-SEA; SOUTHERN ADRIATIC SEA; ARCTIC-OCEAN; BOTTOM WATER; CONTINENTAL-SHELF; DEEP-WATER; AMBIENT STRATIFICATION; MEDITERRANEAN-SEA; BOUNDARY CURRENT; ROTATING FLUID</t>
  </si>
  <si>
    <t>Dense water overflow off continental shelves (cascading) is one of the contributing processes of shelf-deep ocean exchange, and of topical interest to climate studies and nutrient fluxes. Dense water originating from cooling, evaporation, freezing and salinization on a shallow shelf spills over the shelf edge and may develop as near-bottom gravity current or an intermediate-depth intrusion. It is difficult to observe in nature due to its intermittent character. This paper provides an extensive inventory of observed cases of water cascades around the World Ocean, summarises their locations and individual properties, and provides statistics of the identified cases. The search for cascading was carried out using oceanographic databases and a literature review. This study identified 61 confirmed cases worldwide, including 25 cases in the Arctic seas, 12 at mid-latitudes, seven in sub-tropical and tropical regions, and 17 off the Antarctic shelves. Eighteen cascades had not been reported before. We analyze a set of numerical parameters of dense water cascades, allowing us to quantify, compare and contrast the properties of water cascades. The overall average density contrast between the confirmed cascades and ambient water is 0.37 (kg/m(3)); it can be as much as 2 (kg/m(3)) on some Arctic shelves. Frequently initiated by strong cooling at the surface, cascades often remain colder through the descent, thus supplying the deep ocean with colder and fresher water. In non-dimensional variables, the data from all climate zones fit well to a unique curve, which represents a relationship between a cascade's internal structure and the parameters describing its forcing. On average, the down-slope volumetric flux provided by dense water cascades is estimated as 0.05 to 0.08 Sv per 100 km of shelf edge. (C) 2004 Elsevier Ltd. All rights reserved.</t>
  </si>
  <si>
    <t>Univ Plymouth, Sch Earth Ocean &amp; Environm Sci, Plymouth PL4 8AA, Devon, England; Proudman Oceanog Lab, Liverpool, Merseyside, England; PP Shirshov Oceanol Inst, Moscow, Russia; Arctic &amp; Antarctic Res Inst, St Petersburg 199226, Russia</t>
  </si>
  <si>
    <t>University of Plymouth; NERC National Oceanography Centre; Russian Academy of Sciences; Shirshov Institute of Oceanology; Arctic &amp; Antarctic Research Institute</t>
  </si>
  <si>
    <t>Univ Plymouth, Sch Earth Ocean &amp; Environm Sci, Drake Circus, Plymouth PL4 8AA, Devon, England.</t>
  </si>
  <si>
    <t>g.shapiro@plymouth.ac.uk</t>
  </si>
  <si>
    <t>Ivanov, Vladimir/J-5979-2014; Aleynik, Dmitry/C-3930-2014; Ivanov, Vladimir/AAX-6830-2020</t>
  </si>
  <si>
    <t>Ivanov, Vladimir/0000-0003-2569-6027; Aleynik, Dmitry/0000-0002-2066-1960; Shapiro, Georgy/0000-0002-6740-8639</t>
  </si>
  <si>
    <t>0079-6611</t>
  </si>
  <si>
    <t>PROG OCEANOGR</t>
  </si>
  <si>
    <t>Prog. Oceanogr.</t>
  </si>
  <si>
    <t>10.1016/j.pocean.2003.12.002</t>
  </si>
  <si>
    <t>811JA</t>
  </si>
  <si>
    <t>WOS:000220767000003</t>
  </si>
  <si>
    <t>Jónsdóttir, G; Bjarnason, JB; Gudmundsdóttir, A</t>
  </si>
  <si>
    <t>Recombinant cold-adapted trypsin I from Atlantic cod-expression, purification, and identification</t>
  </si>
  <si>
    <t>PROTEIN EXPRESSION AND PURIFICATION</t>
  </si>
  <si>
    <t>trypsin; cold-adapted; serine protease; expression; purification</t>
  </si>
  <si>
    <t>GADUS-MORHUA; SERINE PROTEINASE; ANTARCTIC KRILL; ENZYMES; ADAPTATION; STABILITY; CLONING; EUPHAUSERASE; MUTAGENESIS; SUBTILISIN</t>
  </si>
  <si>
    <t>Atlantic cod trypsin I is a cold-adapted proteolytic enzyme exhibiting approximately 20 times higher catalytic efficiency (k(cat)/K-M) than its mesophilic bovine counterpart for the simple amide substrate BAPNA. In general, cold-adapted proteolytic enzymes are sensitive to autolytic degradation, thermal inactivation as well as molecular aggregation, even at temperatures as low as 18-25 degreesC which may explain the problems observed with their expression, activation, and purification. Prior to the data presented here, there have been no reports in the literature on the expression of psychrophilic or cold-adapted proteolytic enzymes from fish. Nevertheless, numerous cold-adapted proteolytic microbial enzymes have been successfully expressed in bacteria and yeast. This report describes successful expression, activation, and purification of the recombinant cod trypsin I in the His-Patch ThioFusion Escherichia coli expression system. The E. coli pThioHis expression vector used in the study enabled the formation of a fusion protein between a highly soluble fraction of HP-thioredoxin contained in the vector and the N-terminal end of the precursor form of cod trypsin I. The HP-thioredoxin part of the fusion protein binds to a metal-chelating ProBond column, which facilitated its purification. The cod trypsin I part of the purified fusion protein was released by proteolytic cleavage, resulting in concomitant activation of the recombinant enzyme. The recombinant cod trypsin I was purified to homogeneity on a trypsin-specific benzamidine affinity column. The identity of the recombinant enzyme was demonstrated by electrophoresis and chromatography. (C) 2003 Elsevier Inc. All rights reserved.</t>
  </si>
  <si>
    <t>Univ Iceland, Inst Sci, Dept Food Sci, IS-101 Reykjavik, Iceland; Univ Iceland, Inst Sci, Dept Chem, IS-107 Reykjavik, Iceland</t>
  </si>
  <si>
    <t>University of Iceland; University of Iceland</t>
  </si>
  <si>
    <t>ag@hi.is</t>
  </si>
  <si>
    <t>1046-5928</t>
  </si>
  <si>
    <t>1096-0279</t>
  </si>
  <si>
    <t>PROTEIN EXPRES PURIF</t>
  </si>
  <si>
    <t>Protein Expr. Purif.</t>
  </si>
  <si>
    <t>10.1016/j.pep.2003.09.012</t>
  </si>
  <si>
    <t>Biochemical Research Methods; Biochemistry &amp; Molecular Biology; Biotechnology &amp; Applied Microbiology</t>
  </si>
  <si>
    <t>Biochemistry &amp; Molecular Biology; Biotechnology &amp; Applied Microbiology</t>
  </si>
  <si>
    <t>757XV</t>
  </si>
  <si>
    <t>WOS:000187587500014</t>
  </si>
  <si>
    <t>Spiller, J</t>
  </si>
  <si>
    <t>Re-imagining United States Antarctic research as a defining endeavor of a deserving world leader: 1957-1991</t>
  </si>
  <si>
    <t>PUBLIC UNDERSTANDING OF SCIENCE</t>
  </si>
  <si>
    <t>Touching on the modern politics of Antarctica and the shifting interests that the USA and people of other nations had in that continent, this paper examines the imprint of politics and culture on US public discourse about the US Antarctic research program. It argues that US government officials, scientists, and mass media responded to one another, evolving cultural values, and these dynamic politics and interests by changing the way they depicted scientific exploration in Antarctica. Initially treating this exploration as a manly attempt to know the world and conquer its last uninhabited continent, these pundits came to regard Antarctic science as a means of protecting an endangered continental wilderness, while using it to study humanity's most pressing environmental crises. In doing so, however, they clung to an unchanging discourse celebrating US Antarctic research as proof of the benevolent world leadership by the USA, of its unstinting desire to advance peace, security, and prosperity for all humanity.</t>
  </si>
  <si>
    <t>SUNY Coll Brockport, Brockport, NY 14420 USA</t>
  </si>
  <si>
    <t>State University of New York (SUNY) System; State University of New York (SUNY) Brockport</t>
  </si>
  <si>
    <t>Spiller, J (corresponding author), SUNY Coll Brockport, New Campus Dr, Brockport, NY 14420 USA.</t>
  </si>
  <si>
    <t>jspiller@brockport.edu</t>
  </si>
  <si>
    <t>0963-6625</t>
  </si>
  <si>
    <t>PUBLIC UNDERST SCI</t>
  </si>
  <si>
    <t>Public Underst. Sci.</t>
  </si>
  <si>
    <t>10.1177/0963662504042689</t>
  </si>
  <si>
    <t>Communication; History &amp; Philosophy Of Science</t>
  </si>
  <si>
    <t>Social Science Citation Index (SSCI); Arts &amp; Humanities Citation Index (A&amp;HCI)</t>
  </si>
  <si>
    <t>Communication; History &amp; Philosophy of Science</t>
  </si>
  <si>
    <t>819TJ</t>
  </si>
  <si>
    <t>WOS:000221338100003</t>
  </si>
  <si>
    <t>Calisse, PG; Ashley, MCB; Burton, MG; Phillips, MA; Storey, JWV; Radford, SJE; Peterson, JB</t>
  </si>
  <si>
    <t>Submillimeter site testing at Dome C, Antarctica</t>
  </si>
  <si>
    <t>PUBLICATIONS OF THE ASTRONOMICAL SOCIETY OF AUSTRALIA</t>
  </si>
  <si>
    <t>atmospheric effects; instrumentation : miscellaneous; site testing; submillimeter</t>
  </si>
  <si>
    <t>SOUTH-POLE; TELESCOPE; OPACITY; PLATEAU</t>
  </si>
  <si>
    <t>We have developed a 350 mum radiometer to perform automated site testing in remote regions of Antarctica. In summer 2000 - 2001 the instrument operated at Concordia, a new station under construction at Dome C on the Antarctic Plateau. We present the results, and compare them with the atmospheric opacity measured at the South Pole in the same five-week period. During these five weeks, observing conditions at Dome C were, on average, substantially better than those at the South Pole.</t>
  </si>
  <si>
    <t>Univ New S Wales, Sch Phys, Sydney, NSW 2052, Australia; Natl Radio Astron Observ, Tucson, AZ 85721 USA; Carnegie Mellon Univ, Dept Phys, Pittsburgh, PA 15213 USA</t>
  </si>
  <si>
    <t>University of New South Wales Sydney; National Radio Astronomy Observatory (NRAO); Carnegie Mellon University</t>
  </si>
  <si>
    <t>Calisse, PG (corresponding author), Univ New S Wales, Sch Phys, Sydney, NSW 2052, Australia.</t>
  </si>
  <si>
    <t>pcalisse@phys.unsw.edu.au</t>
  </si>
  <si>
    <t>Peterson, Jeffrey/O-4794-2014</t>
  </si>
  <si>
    <t>Peterson, Jeffrey/0000-0003-1340-818X; Burton, Michael/0000-0001-7289-1998; Ashley, Michael/0000-0003-1412-2028; radford, simon/0000-0001-9113-1660</t>
  </si>
  <si>
    <t>1323-3580</t>
  </si>
  <si>
    <t>PUBL ASTRON SOC AUST</t>
  </si>
  <si>
    <t>Publ. Astron. Soc. Aust.</t>
  </si>
  <si>
    <t>10.1071/AS03018</t>
  </si>
  <si>
    <t>851IP</t>
  </si>
  <si>
    <t>WOS:000223679100003</t>
  </si>
  <si>
    <t>Innis, JL; Heil, P; Thompson, K; Coatese, DW</t>
  </si>
  <si>
    <t>An historical light curve of CF Octantis from digitised images of the Bamberg plate archive</t>
  </si>
  <si>
    <t>stars : activity; stars : individual (CF Oct); stars : spots; techniques : photometric</t>
  </si>
  <si>
    <t>STARS</t>
  </si>
  <si>
    <t>Digital images were made of Bamberg Observatory Sky Patrol plates of the field surrounding the active-chromosphere star CF Octantis (HD 196818). These images, taken with an inexpensive camera, were analysed using standard aperture photometry techniques. Good agreement was found with catalogued photographic magnitudes for stars in the range m(pg) similar to8.5 to similar to10.5. The root-mean-square deviations in the measured differences for non-variable field stars was found to be of order 0.10 mag, although a small number of larger differences occurred. For CF Oct, a period search of data from 1966 recovered the known 20 d variation due to starspot rotational modulation, with a range of variation of order 0.5 mag photographic. For active-chromosphere stars with moderately large photometric variations (&gt; similar to0.3 mag), and moderate to long rotation periods (&gt;similar to1 week), careful analysis of similarly obtained digital copies of archive plates may provide valuable insights into historical actvity.</t>
  </si>
  <si>
    <t>Univ Alaska Fairbanks, Inst Geophys, Fairbanks, AK 99775 USA; Univ Alaska Fairbanks, IARC, Fairbanks, AK 99775 USA; Monash Univ, Sch Phys &amp; Mat Engn, Melbourne, Vic 3168, Australia</t>
  </si>
  <si>
    <t>University of Alaska System; University of Alaska Fairbanks; University of Alaska System; University of Alaska Fairbanks; Monash University</t>
  </si>
  <si>
    <t>Innis, JL (corresponding author), Australian Antarctic Div, Channel Highway, Kingston, Tas 7050, Australia.</t>
  </si>
  <si>
    <t>john.innis@aad.gov.au</t>
  </si>
  <si>
    <t>Heil, Petra/0000-0003-2078-0342</t>
  </si>
  <si>
    <t>10.1071/AS03015</t>
  </si>
  <si>
    <t>WOS:000223679100006</t>
  </si>
  <si>
    <t>Baird, H</t>
  </si>
  <si>
    <t>Nase, A; VanGrootel, G</t>
  </si>
  <si>
    <t>Baird, Helen</t>
  </si>
  <si>
    <t>How CERIF-based CRIS can help to identify the factors that contribute to the creation of value by R&amp;D</t>
  </si>
  <si>
    <t>PUTTING THE SPARKLE IN THE KNOWLEDGE SOCIETY</t>
  </si>
  <si>
    <t>7th International Conference on Current Reseach Information Systems</t>
  </si>
  <si>
    <t>Antwerp, BELGIUM</t>
  </si>
  <si>
    <t>Nowadays it is necessary to demonstrate that publicly funded R&amp;D contributes to wealth creation and the quality of life. The former is usually measured by industry profitability based on innovation utilising R&amp;D. CERIF provides for input and retrieval of information on products, patents and publications which can be retrieved easily by entrepreneurs to 'mine' new ideas. CERIF also allows for conditions such as IPR (intellectual property rights) to be stored, thus facilitating negotiation of a fair apportionment of finance between the industry and the research organisation. Similar considerations apply to the quality of life: from the discovery of the dangers of the 'ozone hole' based on R&amp;D by the UK British Antarctic Survey to studies of diminishing fish stocks in the North Sea by various agencies. There is a relationship between investment in R&amp;D and the ability better to manage the environment. Again, CERIF provides the ability to input and retrieve relevant information.</t>
  </si>
  <si>
    <t>Oakleigh Consultants, London SE12 8PU, England</t>
  </si>
  <si>
    <t>Baird, H (corresponding author), Oakleigh Consultants, 104B Burnt Ash Rd, London SE12 8PU, England.</t>
  </si>
  <si>
    <t>helenbaird@oakleigh.co.uk</t>
  </si>
  <si>
    <t>LEUVEN UNIV PRESS-PRESSES UNIV LOUVAIN</t>
  </si>
  <si>
    <t>LEUVEN</t>
  </si>
  <si>
    <t>UNIV PERS LEUVEN BLIJDE-INKOMSTSTRAAT 5, LEUVEN, B-3000, BELGIUM</t>
  </si>
  <si>
    <t>978-90-5867-383-1</t>
  </si>
  <si>
    <t>BMF56</t>
  </si>
  <si>
    <t>WOS:000272191600017</t>
  </si>
  <si>
    <t>Shulmeister, J; Goodwin, I; Renwick, J; Harle, K; Armand, L; McGlone, MS; Cook, E; Dodson, J; Hesse, PP; Mayewski, P; Curran, M</t>
  </si>
  <si>
    <t>The Southern Hemisphere westerlies in the Australasian sector over the last glacial cycle: a synthesis</t>
  </si>
  <si>
    <t>QUATERNARY INTERNATIONAL</t>
  </si>
  <si>
    <t>ANTARCTIC SEA-ICE; FRANZ-JOSEF-GLACIER; LATE PLEISTOCENE VEGETATION; LEVEL PRESSURE VARIABILITY; LATE QUATERNARY VEGETATION; SOUTHEASTERN NORTH-ISLAND; LOESS-PALEOSOL SEQUENCES; NEW-ZEALAND; HOLOCENE VEGETATION; SOUTHWEST PACIFIC</t>
  </si>
  <si>
    <t>The Southern Hemisphere westerlies in the southwest Pacific are known to have waxed and waned numerous times during the last two glacial cycles, though even semi-continuous histories of the westerlies extend back no more than about 20,000 years. We have good evidence for at least three scales of events. A westerly maximum occurs at the Last Glacial Maximum. There is less conclusive evidence for another westerly maximum in the late Holocene and for a minimum at ca. 11 ka. It is too early to ascribe even a cycle to these data but there are grounds to suggest that Milankovitch precessional forcing may underlie the observed pattern. There is also a quasi-2600-year cycle present in Antarctic ice cores that appears to correlate to variation in westerly flow. There is strong centennial-scale variability. In historical times, the Little Ice Age (LIA: ca. 1400-1850) was associated with a poleward shift in the circumpolar trough in the Southern Ocean, strengthened westerly circulation over Tasmania and a strengthening of southwesterly circulation and neoglaciation in southern New Zealand, while the preceding period (800-1400 AD) was less certainly marked by reduced westerly flow. From modern records we know that decadal and inter-annual variability is important (e.g. Pacific Decadal Oscillation, High Latitude Mode also known as the Antarctic Oscillation, El Nino Southern Oscillation). Only a minority of the proxies examined can identify changes on these temporal scales but data from tree-rings, ice cores and laminated lake sediments do indicate systematic changes in these phenomena through time. Rossby wave patterns are shown to play a critical role in long duration events as well as at the synoptic scale. We conclude that westerly circulation is as strong now as at any time in the last glacial cycle. In addition, changes in latitudinal boundaries in the westerlies may be nearly as large in inter-annual zonal shifts (ca. 2degrees maximum) as in glaciation-interglaciation movements (ca. 3-4degrees). There is, however, reasonable evidence of strengthening/weakening across much of the westerly belt at westerly maxima/minima such as the LIA/early Holocene. (C) 2003 Elsevier Ltd and INQUA. All rights reserved.</t>
  </si>
  <si>
    <t>Univ Canterbury, Dept Geol Sci, Christchurch, New Zealand; Univ Newcastle, Sch Environm &amp; Life Sci, Callaghan, NSW 2308, Australia; Natl Inst Water &amp; Atmospher Res, Wellington, New Zealand; ANSTO, Environm Div, Menai, NSW 2234, Australia; Univ Tasmania, Antarct Cooperat Res Ctr, Hobart, Tas 7001, Australia; Landcare Res, Lincoln, NE USA; Lamont Doherty Earth Observ, Tree Ring Lab, Palisades, NY 10964 USA; Univ Western Australia, Sch Earth &amp; Geog Sci, Nedlands, WA 6009, Australia; Macquarie Univ, Sch Earth Sci, Sydney, NSW 2109, Australia; Univ Maine, Climate Change Inst, Orono, ME 04469 USA; Univ Tasmania, Australian Antarctic Div, Hobart, Tas 7001, Australia; Univ Tasmania, Antarct Cooperat Res Ctr, Hobart, Tas 7001, Australia</t>
  </si>
  <si>
    <t>University of Canterbury; University of Newcastle; National Institute of Water &amp; Atmospheric Research (NIWA) - New Zealand; Australian Nuclear Science &amp; Technology Organisation; University of Tasmania; Columbia University; University of Western Australia; Macquarie University; University of Maine System; University of Maine Orono; University of Tasmania; Australian Antarctic Division; University of Tasmania</t>
  </si>
  <si>
    <t>Univ Canterbury, Dept Geol Sci, Private Bag 4800, Christchurch, New Zealand.</t>
  </si>
  <si>
    <t>j.shulmeister@geol.canterbury.ac.nz</t>
  </si>
  <si>
    <t>Mayewski, Paul Andrew/HRD-6969-2023; IPO, PAGES/JXY-7546-2024; Armand, Leanne K/C-9004-2009; shulmeister, james/J-2859-2015</t>
  </si>
  <si>
    <t>shulmeister, james/0000-0001-5863-9462; Goodwin, Ian/0000-0001-8682-6409; Hesse, Paul/0000-0001-8709-2523; Renwick, James/0000-0002-9141-2486; Armand, Leanne/0000-0003-3995-308X</t>
  </si>
  <si>
    <t>1040-6182</t>
  </si>
  <si>
    <t>1873-4553</t>
  </si>
  <si>
    <t>QUATERN INT</t>
  </si>
  <si>
    <t>Quat. Int.</t>
  </si>
  <si>
    <t>10.1016/S1040-6182(03)00129-0</t>
  </si>
  <si>
    <t>826VL</t>
  </si>
  <si>
    <t>WOS:000221857500004</t>
  </si>
  <si>
    <t>Zong, YQ</t>
  </si>
  <si>
    <t>Mid-holocene sea-level highstand along the southeast coast of China</t>
  </si>
  <si>
    <t>5th International Conference on the Cenozoic Evolution of the Asia-Pacific Environment</t>
  </si>
  <si>
    <t>OCT 29-NOV 01, 2001</t>
  </si>
  <si>
    <t>Univ Hong Kong, Hong Kong, PEOPLES R CHINA</t>
  </si>
  <si>
    <t>Univ Hong Kong</t>
  </si>
  <si>
    <t>ANTARCTIC ICE-SHEET; LATE PLEISTOCENE; YANGTZE DELTA; MELTING HISTORY; REEF GROWTH; HOLOCENE; STRAIT; INDICATORS; SUBSIDENCE; ISLANDS</t>
  </si>
  <si>
    <t>Various sea-level curves have been proposed for the coast of China in the past two decades. These sea-level curves indicate a complex history of Holocene sea level, and so the debate on whether or not a higher mid-Holocene sea-level highstand exists in the coast of China has continued. This paper aims to re-examine the Holocene sea-level history for the low latitude part of the China coast (between 18degreesN and 32degreesN) by re-assessing all the sea-level data available from the east to south coasts and separating them according to geological settings in order to examine the influences of global and local factors. The reconstructed sea-level histories from different coastal sectors of the China coast reveal a certain degree of variability in the timing and height of mid-Holocene sealevel highstand. Within large river deltas, the mid-Holocene sea-level highstand occurred earlier by almost 1000 years than that from other coastal sites. The highstand from large river deltas appears also lower in altitude (a few metres below the present-day sea level) due probably to the local factors of subsidence and sediment consolidation. In geologically stable coastal sites, the highstand is recorded at the same altitude as the present-day sea level. A 1-2m higher highstand is found from sites where tectonic uplift is observed. (C) 2003 Elsevier Ltd and INQUA. All rights reserved.</t>
  </si>
  <si>
    <t>Univ Durham, Dept Geog, Durham DH1 3LE, England</t>
  </si>
  <si>
    <t>Durham University</t>
  </si>
  <si>
    <t>Zong, YQ (corresponding author), Univ Durham, Dept Geog, South Rd, Durham DH1 3LE, England.</t>
  </si>
  <si>
    <t>y.q.zong@durham.ac.uk</t>
  </si>
  <si>
    <t>IPO, PAGES/JXY-7546-2024</t>
  </si>
  <si>
    <t>10.1016/S1040-6182(03)00116-2</t>
  </si>
  <si>
    <t>826VK</t>
  </si>
  <si>
    <t>WOS:000221857400008</t>
  </si>
  <si>
    <t>Taylor, KC; White, JWC; Severinghaus, JP; Brook, EJ; Mayewski, PA; Alley, RB; Steig, EJ; Spencer, MK; Meyerson, E; Meese, DA; Lamorey, GW; Grachev, A; Gow, AJ; Barnett, BA</t>
  </si>
  <si>
    <t>Abrupt climate change around 22 ka on the Siple Coast of Antarctica</t>
  </si>
  <si>
    <t>QUATERNARY SCIENCE REVIEWS</t>
  </si>
  <si>
    <t>LAST GLACIAL PERIOD; POLAR ICE; FIRN-DENSIFICATION; TRAPPED AIR; SEA-LEVEL; GREENLAND; RECORD; CORE; DOME; MODEL</t>
  </si>
  <si>
    <t>A new ice core from Siple Dome, Antarctica suggests the surface temperature increased by similar to6degreesC in just several decades at approximately 22 ka BP. This abrupt change did not occur 500 kin away in the Byrd ice core, or in climate proxy records in the Siple Dome core indicative of the mid-latitude Pacific. This demonstrates there was significant spatial heterogeneity in the response of the Antarctic climate during the last deglaciation and draws attention to unexplained mechanisms of abrupt climate change in Antarctica. (C) 2003 Elsevier Ltd. All rights reserved.</t>
  </si>
  <si>
    <t>Univ &amp; Comminity Coll Syst Nevada, Desert Res Inst, Reno, NV 89511 USA; Univ Colorado, INSTAAR, Boulder, CO 80309 USA; Univ Calif San Diego, Scripps Inst Oceanog, La Jolla, CA 92093 USA; Washington State Univ, Dept Geol, Vancouver, WA 98686 USA; Washington State Univ, Environm Sci Program, Vancouver, WA 98686 USA; Penn State Univ, Inst Environm, University Pk, PA 16802 USA; Penn State Univ, Dept Geosci, University Pk, PA 16802 USA; Univ Washington, Univ Washington Sci, Quaternary Res Ctr, Seattle, WA 98195 USA; Univ Maine, Climate Change Inst, Orono, ME 04469 USA; Cold Reg Res &amp; Engn Lab, Hanover, NH 03755 USA; Princeton Univ, Princeton, NJ 08544 USA</t>
  </si>
  <si>
    <t>Nevada System of Higher Education (NSHE); Desert Research Institute NSHE; University of Colorado System; University of Colorado Boulder; University of California System; University of California San Diego; Scripps Institution of Oceanography; Washington State University; Washington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Washington; University of Washington Seattle; University of Maine System; University of Maine Orono; United States Department of Defense; United States Army; U.S. Army Corps of Engineers; U.S. Army Engineer Research &amp; Development Center (ERDC); Cold Regions Research &amp; Engineering Laboratory (CRREL); Princeton University</t>
  </si>
  <si>
    <t>Univ &amp; Comminity Coll Syst Nevada, Desert Res Inst, 2215 Raggio Blvd, Reno, NV 89511 USA.</t>
  </si>
  <si>
    <t>kendrick@dri.edu</t>
  </si>
  <si>
    <t>Grachev, Alexei/AAG-2843-2021; White, James W.C./A-7845-2009; Grachev, Alexei/H-9702-2016; Brook, Edward/AAB-7807-2021; Mayewski, Paul Andrew/HRD-6969-2023; /G-9088-2015; Taylor, Kendrick/A-3469-2016</t>
  </si>
  <si>
    <t>/0000-0002-8191-5549; Taylor, Kendrick/0000-0001-8535-1261</t>
  </si>
  <si>
    <t>0277-3791</t>
  </si>
  <si>
    <t>QUATERNARY SCI REV</t>
  </si>
  <si>
    <t>Quat. Sci. Rev.</t>
  </si>
  <si>
    <t>10.1016/j.quascirev.2003.09.004</t>
  </si>
  <si>
    <t>766PR</t>
  </si>
  <si>
    <t>WOS:000188385200002</t>
  </si>
  <si>
    <t>Moreton, SG; Rosqvist, GC; Davies, SJ; Bentley, MJ</t>
  </si>
  <si>
    <t>Radiocarbon reservoir ages from freshwater lakes, south Georgia, sub-Antarctic: Modern analogues from particulate organic matter and surface sediments</t>
  </si>
  <si>
    <t>RADIOCARBON</t>
  </si>
  <si>
    <t>18th International Radiocarbon Conference</t>
  </si>
  <si>
    <t>SEP 01-05, 2003</t>
  </si>
  <si>
    <t>Wellington, NEW ZEALAND</t>
  </si>
  <si>
    <t>HOLOCENE GLACIAL HISTORY; JAMES-ROSS-ISLAND; PENINSULA; OCEAN</t>
  </si>
  <si>
    <t>Lake sediments have the potential to preserve proxy records of past climate change. Organic material suitable for radiocarbon dating often provides age control of such proxy records. Six shallow freshwater lakes on the sub-Antarctic island of South Georgia were investigated for carbon reservoir effects that may influence age-depth profiles from lake sediment records in this important region. Paired samples of particulate organic matter (POM) from the water column and surface sediment (bulk organic carbon) were analyzed by accelerator mass spectrometry C-14. POM in 4 lakes was found to be in equilibrium with the atmosphere (similar to107% modern), whereas 2 lakes showed significant depletion of 14C. In each lake, the surface sediment ages were older than the paired POM age. Surface sediment ages showed a much greater range of ages compared to the equivalent POM ages, even for lakes located in close proximity. We conclude that sediment disturbance during coring, bioturbation, and periodic resuspension of sediments are likely factors causing the difference in the apparent age of surface sediments.</t>
  </si>
  <si>
    <t>NERC Radiocarbon Lab, E Kilbride G75 0QF, Lanark, Scotland; Univ Stockholm, Dept Phys Geog, S-10691 Stockholm, Sweden; Univ Coll Wales, Inst Geog &amp; Earth Sci, Aberystwyth SY23 3DB, Dyfed, Wales; Univ Durham, Dept Geog, Durham DH1 3LE, England</t>
  </si>
  <si>
    <t>UK Research &amp; Innovation (UKRI); Natural Environment Research Council (NERC); NERC British Geological Survey; Stockholm University; Aberystwyth University; Durham University</t>
  </si>
  <si>
    <t>Moreton, SG (corresponding author), NERC Radiocarbon Lab, Scottish Enterprise Technol Pk, E Kilbride G75 0QF, Lanark, Scotland.</t>
  </si>
  <si>
    <t>S.Moreton@nercrcl.gla.ac.uk</t>
  </si>
  <si>
    <t>Moreton, Steven G/C-2373-2009; Bentley, Michael J/F-7386-2011; Davies, Sarah/ITT-3963-2023</t>
  </si>
  <si>
    <t>Moreton, Steven G/0000-0002-8030-2433; Bentley, Michael J/0000-0002-2048-0019; Rosqvist, Gunhild/0000-0002-9195-607X</t>
  </si>
  <si>
    <t>UNIV ARIZONA DEPT GEOSCIENCES</t>
  </si>
  <si>
    <t>TUCSON</t>
  </si>
  <si>
    <t>RADIOCARBON 4717 E FORT LOWELL RD, TUCSON, AZ 85712 USA</t>
  </si>
  <si>
    <t>0033-8222</t>
  </si>
  <si>
    <t>Radiocarbon</t>
  </si>
  <si>
    <t>10.1017/S0033822200035669</t>
  </si>
  <si>
    <t>853DS</t>
  </si>
  <si>
    <t>Green Submitted, Green Accepted, Bronze</t>
  </si>
  <si>
    <t>WOS:000223807300012</t>
  </si>
  <si>
    <t>Squier, AH; Airs, RL; Hodgson, DA; Keely, BJ</t>
  </si>
  <si>
    <t>Atmospheric pressure chemical ionisation liquid chromatography/mass spectrometry of the ultraviolet screening pigment scytonemin: characteristic fragmentations</t>
  </si>
  <si>
    <t>RAPID COMMUNICATIONS IN MASS SPECTROMETRY</t>
  </si>
  <si>
    <t>HIGH-RESOLUTION; COMMUNITY</t>
  </si>
  <si>
    <t>Atmospheric pressure chemical ionisation reversed-phase high-performance liquid chromatography/multistage mass spectrometry has been used to study the mass spectral fragmentation of the cyanobacterial sheath pigment scytonemin and its reduced counterpart. The two pigments exhibit characteristic fragment ions in their MS2 and MS3 spectra that are of value in confirming the identification of the structures in extracts from natural environments. Copyright (C) 2004 John Wiley Sons, Ltd.</t>
  </si>
  <si>
    <t>Airs, Ruth L/F-2183-2010</t>
  </si>
  <si>
    <t>Keely, Brendan John/0000-0002-8560-1862; Airs, Ruth/0000-0003-0861-742X</t>
  </si>
  <si>
    <t>0951-4198</t>
  </si>
  <si>
    <t>1097-0231</t>
  </si>
  <si>
    <t>RAPID COMMUN MASS SP</t>
  </si>
  <si>
    <t>Rapid Commun. Mass Spectrom.</t>
  </si>
  <si>
    <t>10.1002/rcm.1714</t>
  </si>
  <si>
    <t>Biochemical Research Methods; Chemistry, Analytical; Spectroscopy</t>
  </si>
  <si>
    <t>Biochemistry &amp; Molecular Biology; Chemistry; Spectroscopy</t>
  </si>
  <si>
    <t>876ID</t>
  </si>
  <si>
    <t>WOS:000225489200020</t>
  </si>
  <si>
    <t>Seunarine, S</t>
  </si>
  <si>
    <t>Shapiro, MM; Stanev, T; Wefel, JP</t>
  </si>
  <si>
    <t>The radio ice Cerenkov experiment (RICE)</t>
  </si>
  <si>
    <t>RELATIVISTIC ASTROPHYSICS AND COSMOLOGY</t>
  </si>
  <si>
    <t>SCIENCE AND CULTURE SERIES: ASTROPHYSICS</t>
  </si>
  <si>
    <t>13th International School of Cosmic Ray Astrophysics Course on Relativistic Astrophysics and Cosmology</t>
  </si>
  <si>
    <t>JUN 02-14, 2002</t>
  </si>
  <si>
    <t>Erice, ITALY</t>
  </si>
  <si>
    <t>The RICE detector is an array of radio antennas deployed in the ice at the geographic South Pole. The array is tuned to detect Ultra High Energy neutrinos(E-v &gt; 10(15)eV) using the radio Cerenkov technique. An Ultra High Energy neutrino interacting in Antarctic ice produces a electron which carries away about eighty percent of the neutrino's energy. The electron will initiate an electromagnetic cascade which develops a net negative charge as atomic electrons are knocked out. Each charged track emits Cerenkov radiation which is coherent at radio wavelengths. We describe the general concept of radio detection and details of the RICE experiment.</t>
  </si>
  <si>
    <t>Univ Canterbury, Dept Phys &amp; Astron, Christchurch, New Zealand</t>
  </si>
  <si>
    <t>University of Canterbury</t>
  </si>
  <si>
    <t>Seunarine, S (corresponding author), Univ Canterbury, Dept Phys &amp; Astron, Private Bag 4800, Christchurch, New Zealand.</t>
  </si>
  <si>
    <t>WORLD SCIENTIFIC PUBL CO PTE LTD</t>
  </si>
  <si>
    <t>SINGAPORE</t>
  </si>
  <si>
    <t>PO BOX 128 FARRER RD, SINGAPORE 9128, SINGAPORE</t>
  </si>
  <si>
    <t>981-238-727-7</t>
  </si>
  <si>
    <t>SCI CULT SER ASTROPH</t>
  </si>
  <si>
    <t>10.1142/9789812702968_0031</t>
  </si>
  <si>
    <t>BCJ55</t>
  </si>
  <si>
    <t>WOS:000229640100031</t>
  </si>
  <si>
    <t>Dongchen, E; Zhou, CX; Liao, MS</t>
  </si>
  <si>
    <t>Ehlers, M; Kaufmann, HJ; Michel, U</t>
  </si>
  <si>
    <t>Application of SAR interferometry in Grove Mountains, East Antarctica</t>
  </si>
  <si>
    <t>REMOTE SENSING FOR ENVIRONMENTAL MONITORING, GIS APPLICATIONS, AND GEOLOGY III</t>
  </si>
  <si>
    <t>Conference on Remote Sensing for Environmental Monitoring, GIS Applications and Geology III</t>
  </si>
  <si>
    <t>SEP 09-11, 2003</t>
  </si>
  <si>
    <t>Barcelona, SPAIN</t>
  </si>
  <si>
    <t>synthetic aperture radar interferometry; ERS-1/2 tandem; GPS; DEM; Antarctica</t>
  </si>
  <si>
    <t>Synthetic aperture radar interferometry has been proposed as a potential technique for digital elevation model (DEM) generation, topographic mapping, and surface motion detection especially in the inaccessible areas. Grove Mountains Area locates to the southwest of Princess Elizabeth Land, inland areas of east Antarctica. The topographical map of the core area (11 x 10 KM2) was printed after the field surveying with GPS and total station was finished under the atrocious weather conditions during the 16(th) CHINARE (Chinese National Antarctic Research Expedition) 1999/2000. Tins paper will present an experimental investigation of the ERS-1/2 SAR tandem data in 1996 on DEM generation of the Grove Mountains Core Area, analyze the data processing, and compare the DEM with the actual topographic form. It is confirmed that InSAR is a very useful technique to be utilized in Antarctica, and can be used to produce more products instead of dangerous field surveying.</t>
  </si>
  <si>
    <t>Wuhan Univ, Chinese Antartic Ctr Surveying &amp; Mapping, Wuhan 430079, Peoples R China</t>
  </si>
  <si>
    <t>Wuhan University</t>
  </si>
  <si>
    <t>Dongchen, E (corresponding author), Wuhan Univ, Chinese Antartic Ctr Surveying &amp; Mapping, 129 Luoyu Rd, Wuhan 430079, Peoples R China.</t>
  </si>
  <si>
    <t>edc1939@public.wh.hb.cn</t>
  </si>
  <si>
    <t>0-8194-5122-3</t>
  </si>
  <si>
    <t>10.1117/12.514161</t>
  </si>
  <si>
    <t>Environmental Sciences; Geosciences, Multidisciplinary; Remote Sensing</t>
  </si>
  <si>
    <t>Environmental Sciences &amp; Ecology; Geology; Remote Sensing</t>
  </si>
  <si>
    <t>BY77L</t>
  </si>
  <si>
    <t>WOS:000189459900053</t>
  </si>
  <si>
    <t>Gómez-Enri, J; Catalán, M; Villares, P; Jiménez-Garay, R; Catalán, M</t>
  </si>
  <si>
    <t>Goossens, R</t>
  </si>
  <si>
    <t>An altimetric and in-situ study of the Antarctic Circumpolar Current</t>
  </si>
  <si>
    <t>REMOTE SENSING IN TRANSITION</t>
  </si>
  <si>
    <t>23rd Symposium of the European-Association-of-Remote-Sensing-Laboratories (EARSEL)</t>
  </si>
  <si>
    <t>JUN 02-05, 2003</t>
  </si>
  <si>
    <t>Univ Ghent, Ghent, BELGIUM</t>
  </si>
  <si>
    <t>Univ Ghent</t>
  </si>
  <si>
    <t>Antarctic Circumpolar Current; drake passage; satellite altimetry; Topex-Poseidon</t>
  </si>
  <si>
    <t>TOPEX/POSEIDON</t>
  </si>
  <si>
    <t>The topographic map of the Atlantic part of the Austral Ocean, presents a submarine chain of mountains with an arc form. This system connects South America with the Antarctica Peninsula, and it surrounds totally the Scotia Sea, except in the West side, where the Drake Passage allows the deep water entry from the Pacific sector via the Antarctic Circumpolar Current (ACC). The system presents mesoscale eddies and different active oceanic fronts, which separate the confluence and the interaction between Pacific and Atlantic water masses with those coming from the Antarctica Peninsula. These fronts play an important role in the global thermal equilibrium. We can distinguish from North to South the following fronts: Subantarctic, Polar, Southantarctic and the margin of continental waters. The characteristics of the ocean circulation described, present strong variations in the sea surface (dynamic topography), which can be detected by using altimetric techniques. This communication presents the results obtained from the analysis of 320 cycles of altimetric records from Topex-Poseidon satellite, in the surrounding area of ACC, Drake Passage and Scotia-Arc. These measurements have been compared with in-situ measurements of the ocean dynamic, obtained in several oceanographic campaigns developed in the zone and different borings in the Scotia Arc, Weddel Sea and Bransfield Sea.</t>
  </si>
  <si>
    <t>Univ Cadiz, Dept Appl Phys, Cadiz, Spain</t>
  </si>
  <si>
    <t>Universidad de Cadiz</t>
  </si>
  <si>
    <t>Gómez-Enri, J (corresponding author), Univ Cadiz, Dept Appl Phys, Cadiz, Spain.</t>
  </si>
  <si>
    <t>Gómez-Enri, Jesús/G-2726-2010; Catalán, Manuel/R-6956-2018</t>
  </si>
  <si>
    <t>MILLPRESS SCIENCE PUBLISHERS</t>
  </si>
  <si>
    <t>ROTTERDAM</t>
  </si>
  <si>
    <t>PO BOX 84118, 3009 CC ROTTERDAM, NETHERLANDS</t>
  </si>
  <si>
    <t>90-5966-007-2</t>
  </si>
  <si>
    <t>Remote Sensing</t>
  </si>
  <si>
    <t>BY91X</t>
  </si>
  <si>
    <t>WOS:000189495100006</t>
  </si>
  <si>
    <t>Nakajima, F; Sugita, T; Yokota, T; Sasano, Y</t>
  </si>
  <si>
    <t>Schafer, KP; Comeron, A; Carleer, MR; Picard, RH; Sifakis, NI</t>
  </si>
  <si>
    <t>Atmospheric environment monitoring by the ILAS-II onboard the ADEOS-II satellite</t>
  </si>
  <si>
    <t>REMOTE SENSING OF CLOUDS AND THE ATMOSPHERE IX</t>
  </si>
  <si>
    <t>Conference on Remote Sensing of Clouds and the Atmosphere IX</t>
  </si>
  <si>
    <t>SEP 13-15, 2004</t>
  </si>
  <si>
    <t>Maspalomas, SPAIN</t>
  </si>
  <si>
    <t>ILAS-II; ADEOS-II; solar-occultation; ozone depletion; satellite sensor</t>
  </si>
  <si>
    <t>SPECTROMETER</t>
  </si>
  <si>
    <t>The Improved Limb Atmospheric Spectrometer-II (ILAS-II) onboard the Advanced Earth Observing Satellite-II (ADEOS-II) was successfully launched on 14 December, 2002 from Japan Aerospace Exploration Agency (JAXA)'s Tanegashima Space Center. ILAS-II is a solar-occultation atmospheric sensor which measures vertical profiles Of 03, HNO3, NO2, N2O, CH4, H2O, ClONO2, aerosol extinction coefficients etc. with four grating spectrometers. After the checkout period of the ILAS-II, ILAS-II started its routine operation since 2 April 2003 until 24 October 2003, when ADEOS-II lost its function due to solar-paddle failure. However, about 7 months of data were acquired by ILAS-II including whole period of Antarctic ozone hole in 2003 when ozone depletion was one of the largest up to now. ILASII successfully measured vertical profiles of ozone, nitric acid, nitrous oxide, and aerosol extinction coefficients due to Polar Stratospheric Clouds (PSCs) during this ozone hole period. The ILAS-II data with the latest data retrieval algorithm of Version 1.4 shows fairly good agreement with correlative ozonesonde measurements within 15% accuracy.</t>
  </si>
  <si>
    <t>Natl Inst Environm Studies, Tsukuba, Ibaraki 3058506, Japan</t>
  </si>
  <si>
    <t>National Institute for Environmental Studies - Japan</t>
  </si>
  <si>
    <t>Natl Inst Environm Studies, 16-2 Onogawa, Tsukuba, Ibaraki 3058506, Japan.</t>
  </si>
  <si>
    <t>Sasano, Yasuhiro/AAL-8184-2020; Sugita, Takafumi/H-6669-2018</t>
  </si>
  <si>
    <t>Sasano, Yasuhiro/0000-0001-7470-5642; Sugita, Takafumi/0000-0002-0508-7040</t>
  </si>
  <si>
    <t>0-8194-5518-0</t>
  </si>
  <si>
    <t>10.1117/12.568048</t>
  </si>
  <si>
    <t>BBN01</t>
  </si>
  <si>
    <t>WOS:000226252700029</t>
  </si>
  <si>
    <t>Behar, A; Carsey, F; Matthews, J; Jones, J</t>
  </si>
  <si>
    <t>Jamshidi, M; Ollero, A; MartinezDeDios, JR</t>
  </si>
  <si>
    <t>An Antarctic deployment of the NASA/JPL Tumbleweed Polar Rover</t>
  </si>
  <si>
    <t>Robotics: Trends, Principles and Applications, Vol 15</t>
  </si>
  <si>
    <t>TSI PRESS SERIES</t>
  </si>
  <si>
    <t>10th International Symposium on Robotics and Applications held at the 6th Biannual World Automation Congress</t>
  </si>
  <si>
    <t>JUN 28-JUL 01, 2004</t>
  </si>
  <si>
    <t>Seville, SPAIN</t>
  </si>
  <si>
    <t>mobile robotics; extreme environments</t>
  </si>
  <si>
    <t>The Tumbleweed Rover, currently under development at the Jet Propulsion Laboratory (JPL) in Pasadena, California, is a large, windblown, inflated ball, which carries an instrument payload in its interior. Such rovers offer an effective and simple means of gathering data over large spatial extents of Earth, Mars, and other solar system bodies. Tumbleweeds could prove to be a safe and economical way of deploying instruments such as a ground penetrating radar or a magnetometer in numerous hostile environments. The latest version of the rover was recently deployed in Greenland, where it completed a more than 130km autonomous traverse across ail ice sheet. Communicating via the Iridium satellite network, the rover in question successfully and reliably relayed live GPS, temperature, and pressure data to a ground station at JPL for nearly ten days. The follow-on rover is currently being readied for a traverse from the South Pole to the coast of Antarctica some 2000km away. The Antarctic test is set to take place in February of 2004 and will serve to verify Tumbleweed as an effective means of harvesting data in extreme and remote settings.</t>
  </si>
  <si>
    <t>Behar, A (corresponding author), CALTECH, Jet Prop Lab, 4800 Oak Grove Dr, Pasadena, CA 91109 USA.</t>
  </si>
  <si>
    <t>TSI PRESS</t>
  </si>
  <si>
    <t>ALBUQUERQUE</t>
  </si>
  <si>
    <t>PO BOX 14126, ALBUQUERQUE, NM 87191-4126 USA</t>
  </si>
  <si>
    <t>1-889335-21-5</t>
  </si>
  <si>
    <t>TSI PRESS S</t>
  </si>
  <si>
    <t>Robotics</t>
  </si>
  <si>
    <t>BCO51</t>
  </si>
  <si>
    <t>WOS:000230416700072</t>
  </si>
  <si>
    <t>Yi, YC; Shum, CK; Andersen, O; Knudsen, P</t>
  </si>
  <si>
    <t>Hwang, C; Shum, CK; Li, JC</t>
  </si>
  <si>
    <t>Extreme southern ocean tide Modeling</t>
  </si>
  <si>
    <t>SATELLITE ALTIMETRY FOR GEODESY, GEOPHYSICS AND OCEANOGRAPHY, PROCEEDINGS</t>
  </si>
  <si>
    <t>International Association of Geodesy Symposia</t>
  </si>
  <si>
    <t>International Workshop on Satellite Altimetry for Geodesy, Geophysics and Oceanography</t>
  </si>
  <si>
    <t>SEP 08-13, 2002</t>
  </si>
  <si>
    <t>Wuhan Univ, Wuhan, PEOPLES R CHINA</t>
  </si>
  <si>
    <t>Wuhan Univ</t>
  </si>
  <si>
    <t>ocean tide modeling; satellite altimetry; Southern Ocean</t>
  </si>
  <si>
    <t>Predictability of barotropic ocean tides is significantly less accurate in the coastal regions, littoral and shallow seas, and oceans not covered by TOPEX/POSEIDON (T/P) than in deep oceans (&gt;1000 m depth) within +/-66(0) latitude. Barotropic ocean tide models (mostly with spatial resolutions at 50 km or longer), benefited primarily from T/P altimetry and hydrodynamic modeling, allow predictions of deep ocean tidal amplitudes with an estimated accuracy of 1-2 cm (I sigma). Even with the availability of most recent suite of available global tide models based primarily on T/P data, e.g., GOT00, NAO99, Delft, FES00, extreme Southern Ocean tides below 60S are limited both in accuracy and resolutions, especially in regions near Antarctica where parts of ocean surfaces are seasonally or permanently covered with ice. In our initial study with the objectives to improve tides in Antarctic oceans for accurate prediction of ground-line locations to enhance ice mass balance studies, we provide an assessment of accuracy of tide models in the region. In addition to global models, regional models such as the Padman models (Weddell Sea and Ross Sea) are currently available. Test models below 50S are presented using available T/P and ERS-2 altimeter data over ocean surfaces as well as retracked ERS-2 data over sea surfaces covered with ice.</t>
  </si>
  <si>
    <t>Ohio State Univ, Dept Civil &amp; Environm &amp; Geodet Sci, Lab Space Geodesy &amp; Remote Sensing Res, Columbus, OH 43210 USA</t>
  </si>
  <si>
    <t>University System of Ohio; Ohio State University</t>
  </si>
  <si>
    <t>Yi, YC (corresponding author), Ohio State Univ, Dept Civil &amp; Environm &amp; Geodet Sci, Lab Space Geodesy &amp; Remote Sensing Res, 2070 Neil Ave, Columbus, OH 43210 USA.</t>
  </si>
  <si>
    <t>yi.3@osu.edu</t>
  </si>
  <si>
    <t>Andersen, Ole B/H-7481-2016</t>
  </si>
  <si>
    <t>0939-9585</t>
  </si>
  <si>
    <t>3-540-20211-0</t>
  </si>
  <si>
    <t>IAG SYMP</t>
  </si>
  <si>
    <t>Geosciences, Multidisciplinary; Oceanography; Remote Sensing</t>
  </si>
  <si>
    <t>Geology; Oceanography; Remote Sensing</t>
  </si>
  <si>
    <t>BY69R</t>
  </si>
  <si>
    <t>WOS:000189441200027</t>
  </si>
  <si>
    <t>Humble, J; Greenhalgh, C; Hamsphire, A; Muller, HL; Egglestone, SR</t>
  </si>
  <si>
    <t>Herrero, P; Perez, MA; Robles, V</t>
  </si>
  <si>
    <t>A generic architecture for sensor data integration with the grid</t>
  </si>
  <si>
    <t>SCIENTIFIC APPLICATIONS OF GRID COMPUTING</t>
  </si>
  <si>
    <t>Lecture Notes in Computer Science</t>
  </si>
  <si>
    <t>1st International Workshop on Scientific Applications of Grid Computing (SAG 2004)</t>
  </si>
  <si>
    <t>Beijing, PEOPLES R CHINA</t>
  </si>
  <si>
    <t>FETAL</t>
  </si>
  <si>
    <t>This paper describes the design and implementation of a model of how to integrate sensors and devices into a Grid infrastructure. We describe its proxy-based approach, the port-type requirements and the set of tools implemented to facilitate configuration of experimental scenarios. Two real world devices, a wearable medical jacket and an Antarctic lake probe, deployed out in the field using this architecture are described, along with their relevance in scientific research.</t>
  </si>
  <si>
    <t>Univ Nottingham, Dept Comp Sci, Nottingham, England; Univ Bristol, Dept Comp Sci, Bristol BS8 1TH, Avon, England</t>
  </si>
  <si>
    <t>University of Nottingham; University of Bristol</t>
  </si>
  <si>
    <t>Univ Nottingham, Dept Comp Sci, Nottingham, England.</t>
  </si>
  <si>
    <t>jch@cs.nott.ac.uk; cmg@cs.nott.ac.uk; axh@cs.nott.ac.uk; henkm@cs.bris.ac.uk; sre@cs.nott.ac.uk</t>
  </si>
  <si>
    <t>0302-9743</t>
  </si>
  <si>
    <t>1611-3349</t>
  </si>
  <si>
    <t>3-540-25810-8</t>
  </si>
  <si>
    <t>LECT NOTES COMPUT SC</t>
  </si>
  <si>
    <t>Computer Science, Theory &amp; Methods</t>
  </si>
  <si>
    <t>BCO44</t>
  </si>
  <si>
    <t>WOS:000230410900009</t>
  </si>
  <si>
    <t>Williams, M; Rushton, AWA; Wood, B; Floyd, JD; Smith, R; Wheatley, C</t>
  </si>
  <si>
    <t>A revised graptolite biostratigraphy for the lower Caradoc (Upper Ordovician) of southern Scotland</t>
  </si>
  <si>
    <t>SCOTTISH JOURNAL OF GEOLOGY</t>
  </si>
  <si>
    <t>SUPERSTES MUDSTONE FORMATION; UPLANDS; SEQUENCE; SERIES; MIDDLE; FAUNA; AREA</t>
  </si>
  <si>
    <t>Biostratigraphical evaluation of graptolites from more than 160 localities in the lower Caradoc of southern Scotland does not differentiate a discrete assemblage diagnostic of the Climacograptus bicornis peltifer Biozone. The lowermost Caradoc Nemagraptus gracilis Biozone is redefined by the partial-range of N. gracilis below the appearance of Climacograptus bicornis s.l. The succeeding C bicornis Biozone is divisible into (1) a lower Subzone of Orthograptus apiculatus and Dicranograptus ziczac, identified also by the appearance of Amplexograptus leptotheca, Dicranograptus tardiusculus and several other taxa, and (2) an upper Subzone of Climacograptus wilsoni, marked by the first appearance of C wilsoni.. Nemagraptus gracilis and Didymograptus (s.l.) superstes range into the lower part of the apiculatus-ziczac Subzone, above which is a poorly characterized interval that is approximately equivalent of the 'peltifer' Biozone of former usage. The bicornis Biozone is the approximate equivalent to the C bicornis Biozone of North America, and, at least in part, of the foliaceus (or multidens) Biozone of southern Britain. It is succeeded in Scotland by the clingani Biozone.</t>
  </si>
  <si>
    <t>British Geol Survey, Keyworth NG12 5GG, Notts, England; Nat Hist Museum, Dept Palaeontol, London SW7 5BD, England; British Geol Survey, Edinburgh EH9 3LA, Midlothian, Scotland</t>
  </si>
  <si>
    <t>UK Research &amp; Innovation (UKRI); Natural Environment Research Council (NERC); NERC British Geological Survey; Natural History Museum London; UK Research &amp; Innovation (UKRI); Natural Environment Research Council (NERC); NERC British Geological Survey</t>
  </si>
  <si>
    <t>Williams, M (corresponding author), British Antarctic Survey, Geol Sci Div, High Cross,Madingley Rd, Cambridge CB3 0ET, England.</t>
  </si>
  <si>
    <t>GEOLOGICAL SOC PUBL HOUSE</t>
  </si>
  <si>
    <t>BATH</t>
  </si>
  <si>
    <t>UNIT 7, BRASSMILL ENTERPRISE CENTRE, BRASSMILL LANE, BATH BA1 3JN, AVON, ENGLAND</t>
  </si>
  <si>
    <t>0036-9276</t>
  </si>
  <si>
    <t>SCOT J GEOL</t>
  </si>
  <si>
    <t>Scott. J. Geol.</t>
  </si>
  <si>
    <t>10.1144/sjg40020097</t>
  </si>
  <si>
    <t>938YP</t>
  </si>
  <si>
    <t>WOS:000230039600001</t>
  </si>
  <si>
    <t>Pascal, W; Chaffaut, X; Kubik, P; Lebegue, L; Valorge, C; Jung, M</t>
  </si>
  <si>
    <t>Meynart, R; Neeck, SP; Shimoda, H</t>
  </si>
  <si>
    <t>A new method for in-flight radiometric noise assessment: Application to SPOT5</t>
  </si>
  <si>
    <t>SENSORS, SYSTEMS, AND NEXT-GENERATION SATELLITES VIII</t>
  </si>
  <si>
    <t>Conference on Sensors, Systems, and Next-Generation Satellites VIII</t>
  </si>
  <si>
    <t>SPOT; image quality; radiometry; calibration; signal to noise ratio</t>
  </si>
  <si>
    <t>Since SPOT1 launch in February 1986 and until SPOT5 launch in May 2002, the methods and means to insure the best quality of the images delivered to SPOT IMAGE customers have been continuously improved and updated. The quality of the corrected images is quantified through several figures of merit, including, for radiometric quality, the Signal-to-Noise Ratio (SNR). Radiometric noise is due to two separate phenomena: column-wise noise: it represents on-board image chain performances. line-wise noise: normalization defects (radiometric model deviations) may lead to visible columns on a uniform landscape. For each image, these two noises are combined in an image noise that quantifies the variations of the digital numbers on a uniform landscape. Different techniques can be used to assess these different noises in-flight. For SPOT1 to SPOT4, the on-board lamp is used for both normalization and SNR assessment. For SPOT5, without lamp unit, we use images acquired over the quasi-uniform landscapes of Antarctic and Greenland for normalization. However, uniformity of these landscapes is not sufficient to accurately measure the SNR. So, a new method experimented during SPOT3 in-flight commissioning phase and operational for SPOT5 is applied. It consists in using two images of the same landscape acquired simultaneously to eliminate the landscape contribution. This paper focuses on the presentation of this new method and compares its accuracy to the other methods. Finally, a comparison between flight measurements and ground measurements before launch is given.</t>
  </si>
  <si>
    <t>CNES, F-31055 Toulouse 9, France</t>
  </si>
  <si>
    <t>Pascal, W (corresponding author), CNES, 18 Ave Edouard Belin, F-31055 Toulouse 9, France.</t>
  </si>
  <si>
    <t>0-8194-5517-2</t>
  </si>
  <si>
    <t>10.1117/12.565110</t>
  </si>
  <si>
    <t>Engineering, Aerospace; Remote Sensing</t>
  </si>
  <si>
    <t>Engineering; Remote Sensing</t>
  </si>
  <si>
    <t>BBI79</t>
  </si>
  <si>
    <t>WOS:000225676100028</t>
  </si>
  <si>
    <t>Abele, D; Philipp, E; Heise, K; Keller, M</t>
  </si>
  <si>
    <t>Puntarulo, S; Boveris, A</t>
  </si>
  <si>
    <t>Mitochondria of Antarcti and North Sea marine invertebrates - Ecological functions of mild uncoupling in water breathers</t>
  </si>
  <si>
    <t>SFRR: PROCEEDINGS OF THE XII BIENNIAL MEETING OF THE SOCIETY FOR FREE RADICAL RESEARCH INTERNATIONAL</t>
  </si>
  <si>
    <t>LATERNULA-ELLIPTICA; RADICAL GENERATION; STRESS</t>
  </si>
  <si>
    <t>Antarctic marine ectotherms look back on several million years of adaptation to constant extreme cold temperatures. By contrast, animals from temperate zones face high summer and below 0 degrees C temperatures in winter. Here, we present recent data on mitochondrial ROS production in animals from both climatic environments, and a concept of mitochondrial proton leak as part of thermal adaptation in both groups.</t>
  </si>
  <si>
    <t>Alfred WEgener Inst Polar &amp; Marine Res, Bremerhaven, Germany</t>
  </si>
  <si>
    <t>Abele, D (corresponding author), Alfred WEgener Inst Polar &amp; Marine Res, Bremerhaven, Germany.</t>
  </si>
  <si>
    <t>MEDIMOND PUBLISHING CO</t>
  </si>
  <si>
    <t>BOLOGNA</t>
  </si>
  <si>
    <t>VIA RUBBIANI 6/2, 40124 BOLOGNA, ITALY</t>
  </si>
  <si>
    <t>88-7587-109-4</t>
  </si>
  <si>
    <t>Biochemistry &amp; Molecular Biology</t>
  </si>
  <si>
    <t>BBR33</t>
  </si>
  <si>
    <t>WOS:000227353800062</t>
  </si>
  <si>
    <t>Malosso, E; English, L; Hopkins, DW; O'Donnell, AG</t>
  </si>
  <si>
    <t>Use of 13C-labelled plant materials and ergosterol, PLFA and NLFA analyses to investigate organic matter decomposition in Antarctic soil</t>
  </si>
  <si>
    <t>SOIL BIOLOGY &amp; BIOCHEMISTRY</t>
  </si>
  <si>
    <t>maritime antarctic; phospholipid fatty acids; neutral lipid fatty acids; C-13-labelled ergosterol; decomposition; microbial communities</t>
  </si>
  <si>
    <t>MICROBIAL COMMUNITY STRUCTURE; FATTY-ACID COMPOSITION; MASS-SPECTROMETRY; FILAMENTOUS FUNGI; ALEXANDER ISLAND; BIOMASS; DIVERSITY; MICROORGANISMS; BACTERIAL; MINERALIZATION</t>
  </si>
  <si>
    <t>The relationship between organic matter decomposition and changes in microbial community structure were investigated in Antarctic soils using C-13-labelled plant materials. Soils with and without labelled Deschampsia antarctica (a native Antarctic grass) were incubated for 42 days and sampled at 0, 7, 14, 21, 28 and 42 days. Changes in microbial community structure were assessed using phospholipid fatty acid analysis (PLFA) and an analysis of the fatty acids associated with the neutral lipid fraction (NLFA). These studies showed that there were no significant changes in PLFA or NLFA profiles over time suggesting no change in microbial community structure during residue decomposition. There was a marked increase however, in ergosterol levels in these soils indicative of growth of the fungal biomass. Analysis of this ergosterol using gas chromatography-mass spectrometry confirmed the transformation of the plant residue by showing the incorporation of C-13-plant C into the ergosterol. This incorporation of C-13 into the ergosterol increased over the incubation period. Importantly, these changes associated with fungal growth were not evident in the analysis of either the PLFA or NLFA fractions thus questioning the reliability of such approaches for studying changes in microbial communities associated with the decomposition of plant residues. (C) 2003 Elsevier Ltd. All rights reserved.</t>
  </si>
  <si>
    <t>Univ Newcastle Upon Tyne, Ctr Mol Ecol, Newcastle Upon Tyne NE1 7RU, Tyne &amp; Wear, England; Univ Stirling, Dept Environm Sci, Stirling FK9 4LA, Scotland</t>
  </si>
  <si>
    <t>Newcastle University - UK; University of Stirling</t>
  </si>
  <si>
    <t>Univ Newcastle Upon Tyne, Ctr Mol Ecol, King George VI Bldg, Newcastle Upon Tyne NE1 7RU, Tyne &amp; Wear, England.</t>
  </si>
  <si>
    <t>tony.odonnell@nci.ac.uk</t>
  </si>
  <si>
    <t>Malosso, Elaine/I-2153-2012</t>
  </si>
  <si>
    <t>Malosso, Elaine/0000-0001-5920-7135; O'Donnell, Tony/0000-0003-2001-4533; Hopkins, David/0000-0003-0953-8643</t>
  </si>
  <si>
    <t>0038-0717</t>
  </si>
  <si>
    <t>SOIL BIOL BIOCHEM</t>
  </si>
  <si>
    <t>Soil Biol. Biochem.</t>
  </si>
  <si>
    <t>10.1016/j.soilbio.2003.09.004</t>
  </si>
  <si>
    <t>Soil Science</t>
  </si>
  <si>
    <t>Agriculture</t>
  </si>
  <si>
    <t>768QY</t>
  </si>
  <si>
    <t>WOS:000188587600019</t>
  </si>
  <si>
    <t>Gabis, I; Troshichev, O</t>
  </si>
  <si>
    <t>Pap, JM; Kuhn, J; Labitzke, K; Shea, MA</t>
  </si>
  <si>
    <t>Influence of solar UV irradiance on quasi-biennial oscillations in the Earth's atmosphere</t>
  </si>
  <si>
    <t>SOLAR VARIABILITY AND CLIMATE CHANGE</t>
  </si>
  <si>
    <t>solar UV irradiance; quasi-biennial oscillations; equatorial stratosphere</t>
  </si>
  <si>
    <t>VARIABILITY; CYCLE</t>
  </si>
  <si>
    <t>A study of relationships between variations in the solar ultraviolet (UV) irradiance and quasi-biennial oscillations (QBO) of mean zonal wind in the Earth's equatorial stratosphere has been carried out with use of the composite MgII index as a proxy for the solar UV irradiance. The middle-term changes in the UV-irradiation have been separated after removing the long-term (approximate to11 years) and short-term (approximate to27 days) variations. The results of the analysis show that the average UV irradiance tends to be higher for east QBO-phase and lower for west phase. The detail analysis of rotation in the stratospheric wind profiles reveals that the quiet periods alternate with active periods, characterizing by strong disturbing winds. Some of these stages occur only in certain seasons, which implies that they are guided by the internal atmospheric mechanisms. Duration of active stages can be affected by level of the UV irradiance. Conclusion is made that variability of the QBO-phase duration in the equatorial stratosphere can be interpreted if influence of the solar UV medium-term variation on basic stratospheric processes is taken into account. (C) 2004 COSPAR. Published by Elsevier Ltd. All rights reserved.</t>
  </si>
  <si>
    <t>Gabis, I (corresponding author), Arctic &amp; Antarctic Res Inst, 38 Bering Str, St Petersburg 199397, Russia.</t>
  </si>
  <si>
    <t>10.1016/j.asr.2003.02.049</t>
  </si>
  <si>
    <t>BAS51</t>
  </si>
  <si>
    <t>WOS:000223368900022</t>
  </si>
  <si>
    <t>Makarova, LN; Shirochkov, A</t>
  </si>
  <si>
    <t>The Sun and the solar wind variability of different time-scales and the climate dynamics</t>
  </si>
  <si>
    <t>solar wind; solar emissions; Earth's climate; stratospheric variations</t>
  </si>
  <si>
    <t>TEMPERATURE</t>
  </si>
  <si>
    <t>The role and place of the solar wind energy in the whole spectra of the solar emissions, which could influence Earth's climate dynamics are investigated. Reliable indicators of the direct coupling between the solar wind disturbances and the temperature short-term variations in the high-latitude stratosphere are presented. In the long-terms (several solar cycles), variations of the solar wind dynamic pressure are similar to the correspondent total solar irradiance (TSI) temporal changes. (C) 2004 COSPAR. Published by Elsevier Ltd. All rights reserved.</t>
  </si>
  <si>
    <t>Makarova, LN (corresponding author), Arctic &amp; Antarctic Res Inst, 38 Bering St, St Petersburg 199397, Russia.</t>
  </si>
  <si>
    <t>10.1016/j.asr.2003.03.049</t>
  </si>
  <si>
    <t>WOS:000223368900034</t>
  </si>
  <si>
    <t>Troshichev, OA; Gorshkov, ES; Shapovalov, SN; Sokolovskii, VV; Ivanov, VV; Vorobeitchikov, VM</t>
  </si>
  <si>
    <t>Henninger, DL; Drysdale, AE; Kondyurin, AV</t>
  </si>
  <si>
    <t>Variations of the gravitational field as a motive power for rhythmics of biochemical processes</t>
  </si>
  <si>
    <t>SPACE LIFE SCIENCES: LIFE SUPPORT SYSTEMS AND BIOLOGICAL SYSTEMS UNDER INFLUENCE OF PHYSICAL FACTORS</t>
  </si>
  <si>
    <t>variations of gravitational field; unithiol test; thiol concentration; haemoglobin content; erythrocyte sedimentation</t>
  </si>
  <si>
    <t>SOLAR</t>
  </si>
  <si>
    <t>Variations of the gravitational field affected by the Sun and the Moon while the Earth's moving along the orbit seem to be a powerful source of many rhythmical processes typical of biochemical processes. Studies carried out in AARI revealed the obvious relationships between the dynamics of some biochemical reactions and AD-function describing the regular variations of the gravitational field under combined influence of the Sun and the Moon. The following of them are examined as examples: the rate of the unithiol oxidation in vitro, concentration of the thiol compounds in human urine, some hematological indicators (rate of the erythrocytes sedimentation, hemoglobin content). Compatibility of run of the biochemical indicators and AD-function is indicative of essential influence of the regular variations of the gravitational field on rhythmics of the biochemical processes. As this takes place, the solar activity acts like to the instability factor. Balance of the solar activity effects and the varying gravitational field effect alter in time depending on location in the solar activity cycle. (C) 2004 COSPAR. Published by Elsevier Ltd. All rights reserved.</t>
  </si>
  <si>
    <t>Kondyurin, Alexey/B-9580-2011</t>
  </si>
  <si>
    <t>Kondyurin, Alexey/0000-0002-8837-9734</t>
  </si>
  <si>
    <t>10.1016/j.asr.2004.02.013</t>
  </si>
  <si>
    <t>Engineering, Aerospace; Astronomy &amp; Astrophysics; Biophysics; Geosciences, Multidisciplinary; Meteorology &amp; Atmospheric Sciences</t>
  </si>
  <si>
    <t>Engineering; Astronomy &amp; Astrophysics; Biophysics; Geology; Meteorology &amp; Atmospheric Sciences</t>
  </si>
  <si>
    <t>BBH90</t>
  </si>
  <si>
    <t>WOS:000225592800023</t>
  </si>
  <si>
    <t>Abyzov, SS; Hoover, RB; Imura, S; Mitskevich, IN; Naganuma, T; Poglazova, MN; Ivanov, MV</t>
  </si>
  <si>
    <t>Horneck, G; LevasseurRegourd, AC; Rabin, BM; Slenzka, KB</t>
  </si>
  <si>
    <t>Use of different methods for discovery of ice-entrapped microorganisms in ancient layers of the Antarctic glacier</t>
  </si>
  <si>
    <t>SPACE LIFE SCIENCES: SEARCH FOR SIGNATURES OF LIFE, AND SPACE FLIGHT ENVIRONMENTAL EFFECTS ON THE NERVOUS SYSTEM</t>
  </si>
  <si>
    <t>ice-entrapped microorganisms; Lake Vostok; Antarctic glacier; methods for microorganism discovery; astrobiology</t>
  </si>
  <si>
    <t>LAKE VOSTOK; SHEET</t>
  </si>
  <si>
    <t>Investigations throughout the thickness of the ice sheet above Lake Vostok show the presence of microorganisms belonging to different well-known taxonomic groups, even in the very ancient horizons near close to floor of the glacier. Different methods were used to search for microorganisms that are rarely found in the deep ancient layers of an ice sheet. Primary investigations tried the usual methods of sowing samples onto different nutrient media, and the result was that only a few microorganisms grew on the media used. Further investigations of the very ancient layers of the ice sheet by radioisotopic, luminescence, and scanning electron microscopy methods at different modifications, revealed the quantity and morphological diversity of the cells of microorganisms that were distributed on the different horizons. Microbiological investigations in the very ancient strata of the Antarctic ice cover, nearest to the bedrock, support the effectiveness of using a combination of different methods to search for signs of life in ancient icy formations, which might play a role in the long-term preservation and transportation of microbial life throughout the Universe. (C) 2004 COSPAR. Published by Elsevier Ltd. All rights reserved.</t>
  </si>
  <si>
    <t>Russian Acad Sci, Inst Microbiol, Moscow 11731260, Letya, Russia; NASA, NSSTC, Dept Space Sci, Huntsville, AL 35805 USA; Natl Inst Polar Res, Itabashi Ku, Tokyo 1738515, Japan; Hiroshima Univ, Biol Oceanog Lab, Higashihiroshima 7398528, Japan</t>
  </si>
  <si>
    <t>Research Center of Biotechnology RAS; Russian Academy of Sciences; National Aeronautics &amp; Space Administration (NASA); Research Organization of Information &amp; Systems (ROIS); National Institute of Polar Research (NIPR) - Japan; Hiroshima University</t>
  </si>
  <si>
    <t>Russian Acad Sci, Inst Microbiol, Oktyabrya 7A, Moscow 11731260, Letya, Russia.</t>
  </si>
  <si>
    <t>abyzov@inmi.host.ru; rich-ard.hoover@nasa.gov; imura@nipr.ac.jp; takn@hiroshima-u.ac.jp</t>
  </si>
  <si>
    <t>Naganuma, Takeshi/AAX-7064-2021</t>
  </si>
  <si>
    <t>Naganuma, Takeshi/0000-0003-1925-9461</t>
  </si>
  <si>
    <t>10.1016/j.asr.2003.08.033</t>
  </si>
  <si>
    <t>BAF41</t>
  </si>
  <si>
    <t>WOS:000222000200002</t>
  </si>
  <si>
    <t>Impact-shocked rocks - insights into Archean and extraterrestrial microbial habitats (and sites for prebiotic chemistry?)</t>
  </si>
  <si>
    <t>astrobiology; Archean extraterrestrial microbial habitats; prebiotic chemistry</t>
  </si>
  <si>
    <t>DEVON ISLAND; CANADA; MARS; CRATER</t>
  </si>
  <si>
    <t>Impact-shocked gneiss shocked to greater than 10 GPa in the Haughton impact structure in the Canadian High Arctic has an approximately 25-times greater pore surface area than unshocked rocks. These pore spaces provide microhabitats for a diversity of heterotrophic microorganisms and in the near-surface environment of the rocks, where light levels are sufficient, cyanobacteria. Shocked rocks provide a moisture retaining, UV protected microenvironment. During the Archean, when impact fluxes were more than two orders of magnitude higher than today, the shocked-rock habitat was one of the most common terrestrial habitats and might have provided a UV-shielded refugium for primitive life. These potential habitats are in high abundance on Mars where impact crater habitats could have existed over geologic time periods of billions of years, suggesting that impact-shocked rocks are important sites to search for biomolecules in extraterrestrial life detection strategies. In addition to being favourable sites for life, during the prebiotic period of planetary history impact-shocked rocks might have acted as a site for the concentration of reactants for prebiotic syntheses. (C) 2004 COSPAR. Published by Elsevier Ltd. All rights reserved.</t>
  </si>
  <si>
    <t>NASA, Ames Res Ctr, SETI Inst, Moffett Field, CA 94035 USA; British Antarctic Survey, Cambridge CB3 0ET, England</t>
  </si>
  <si>
    <t>National Aeronautics &amp; Space Administration (NASA); NASA Ames Research Center; UK Research &amp; Innovation (UKRI); Natural Environment Research Council (NERC); NERC British Antarctic Survey</t>
  </si>
  <si>
    <t>Cockell, CS (corresponding author), NASA, Ames Res Ctr, SETI Inst, M-S 245-3, Moffett Field, CA 94035 USA.</t>
  </si>
  <si>
    <t>10.1016/j.asr.2003.06.027</t>
  </si>
  <si>
    <t>WOS:000222000200003</t>
  </si>
  <si>
    <t>Glavin, DP; Matrajt, G; Bada, JL</t>
  </si>
  <si>
    <t>Bernstein, MP; Kress, M; NavarroGonzalez, R</t>
  </si>
  <si>
    <t>Re-examination of amino acids in Antarctic micrometeorites</t>
  </si>
  <si>
    <t>SPACE LIFE SCIENCES: STEPS TOWARD ORIGIN(S) OF LIFE</t>
  </si>
  <si>
    <t>amino acids; micrometeorites; prebiotic organic inventory</t>
  </si>
  <si>
    <t>ATMOSPHERIC ENTRY; CARBONACEOUS MICROMETEORITES; ACCRETION RATE; PARENT BODY; COLLECTION; MURCHISON; HYDROLYSIS; SURVIVAL; DUST</t>
  </si>
  <si>
    <t>The delivery of amino acids by micrometeorites to the early Earth during the period of heavy bombardment (4.5-3.5 Ga) could have been a significant source of the Earth's prebiotic organic inventory. Antarctic micrometeorites (AMMs) in the 100-200 mum size range represent the dominant mass fraction of extraterrestrial material accreted by the Earth today. However, one problem is that these 'large' micrometeorite grains can be heated to very high temperatures (1000 to 1500 degreesC) during atmospheric deceleration, causing the amino acids to decompose. In this study, we have analyzed the acid-hydrolyzed, hot water extracts from 455 AMMs for the presence of amino acids using high performance liquid chromatography. For comparison, a 5 mg sample of the CM meteorite Murchison was also investigated. In the Murchison sample we found high levels (similar to3-4 parts-per-million, ppm) of alpha-aminoisobutyric acid (AIB) and isovaline, two non-protein amino acids that are extremely rare on Earth and are characteristic of amino acids of apparent extraterrestrial origin. In contrast, we were unable to detect any AIB above the 0.1 ppm level in the AMM samples studied. Only in one AMM sample from a previous study has AIB been detected (similar to300 ppm). To date, more than 600 AMMs have been analyzed for extraterrestrial amino acids. Although our results indicate that less than 5% of all AMMs contain detectable levels of AIB, we cannot rule out the possibility that AIB can be delivered to the Earth intact by a small percentage of AMMs that escaped extensive heating during atmospheric entry. (C) 2003 COSPAR. Published by Elsevier Ltd. All rights reserved.</t>
  </si>
  <si>
    <t>Univ Calif San Diego, Scripps Inst Oceanog, La Jolla, CA 92093 USA; CNRS, CSNSM, F-91405 Orsay, France; Univ Paris 11, IAS, F-91405 Orsay, France</t>
  </si>
  <si>
    <t>University of California System; University of California San Diego; Scripps Institution of Oceanography; Universite Paris Saclay; Centre National de la Recherche Scientifique (CNRS); Universite Paris Saclay</t>
  </si>
  <si>
    <t>NASA, Goddard Space Flight Ctr, Code 915, Greenbelt, MD 20771 USA.</t>
  </si>
  <si>
    <t>dglavin@comcast.net</t>
  </si>
  <si>
    <t>Matrajt, Graciela/A-4812-2017; Glavin, Daniel P/D-6194-2012</t>
  </si>
  <si>
    <t>Glavin, Daniel P/0000-0001-7779-7765</t>
  </si>
  <si>
    <t>10.1016/j.asr.2003.02.011</t>
  </si>
  <si>
    <t>Engineering, Aerospace; Astronomy &amp; Astrophysics; Biochemistry &amp; Molecular Biology; Biology; Geosciences, Multidisciplinary; Meteorology &amp; Atmospheric Sciences</t>
  </si>
  <si>
    <t>Engineering; Astronomy &amp; Astrophysics; Biochemistry &amp; Molecular Biology; Life Sciences &amp; Biomedicine - Other Topics; Geology; Meteorology &amp; Atmospheric Sciences</t>
  </si>
  <si>
    <t>BY96E</t>
  </si>
  <si>
    <t>WOS:000189505400016</t>
  </si>
  <si>
    <t>Piacentini, RD; Luccini, E; Micheletti, MI; Quel, E; Wolfram, EA; Pazmiño, AF; Fochesatto, J; Crino, E; Cede, A; Blumthaler, M; Herman, J; Godin-Beekmann, S; Megie, G</t>
  </si>
  <si>
    <t>Lopez, RE; Morrow, CA; Machado, ME; Fellous, JL</t>
  </si>
  <si>
    <t>Satellite and ground measurements of solar erythemal UV radiation and ozone in Argentina</t>
  </si>
  <si>
    <t>SPACE SCIENCE EDUCATION AND PROMOTING NORTH-SOUTH PARTNERSHIP IN SPACE RESEARCH</t>
  </si>
  <si>
    <t>solar erythermal UV radiation; ozone; satellite and ground measurements; Argentina; TOMS measurements</t>
  </si>
  <si>
    <t>ALBEDO</t>
  </si>
  <si>
    <t>Solar erythemal UV radiation incident on Argentina from tropical to high latitude regions has been measured with ground-based instruments as well as with the TOMS instrument on board of the NASA Earth-Probe satellite. These data permit validation of the UV index, a measure of solar risk to UV exposure, forecasted daily by CONAE (Argentina National Commission on Space Activities) and the Argentine National Weather Service. Model calculations of this index are also presented. In addition. we analyzed the UV effects from the Antarctic ozone hole passing over the continental part of the country using TOMS data corrected by a factor derived from the intercomparison of TOMS satellite data with those determined with Southern Hemisphere ground-based spectroradiometers. In this way, we obtained a rather comprehensive description of the amount of erythemal UV radiation and consequently of the UV index for the entire country, as well as the ozone total column and profile (the latter one at Buenos Aires). The results presented in this work were determined through collaboration between the following institutions: GSFC/NASA in USA. Institute Pierre Simon Laplace in France, University of Innsbruck in Austria and CEILAP. IFIR. CONAE. SMN. Universities of Rosario and San Luis in Argentina. The need to use erythemal irradiance and ozone results in Argentina. one of the most exposed regions of the Southern Hemisphere to study the effects of ozone depletion and consequently UV detrimental effects. has. been partially covered in the framework of this North-South collaboration. (C) 2004 COSPAR. Published by Elsevier Ltd. All rights reserved.</t>
  </si>
  <si>
    <t>Univ Nacl Rosario, Inst Fis Rosario, CONICET, RA-2000 Rosario, Santa Fe, Argentina; Univ Nacl Rosario, Fac Ciencias Exactas Ingn &amp; Agrimensura, RA-2000 Rosario, Santa Fe, Argentina; Univ Nacl Rosario, Fac Ciencias Bioquim &amp; Farmaceut, RA-2000 Rosario, Santa Fe, Argentina; CEILAP, CITEFA, CONICET, Buenos Aires, DF, Argentina; IPSL, Serv Aeron, Paris, France; Univ Nacl San Luis, San Luis Obispo, Argentina; Univ Innsbruck, Inst Med Phys, A-6020 Innsbruck, Austria; NASA, Goddard Space Flight Ctr, Greenbelt, MD 20771 USA</t>
  </si>
  <si>
    <t>National University of Rosario; Consejo Nacional de Investigaciones Cientificas y Tecnicas (CONICET); National University of Rosario; National University of Rosario; Consejo Nacional de Investigaciones Cientificas y Tecnicas (CONICET); Universite Paris Cite; Universidad Nacional de San Luis; University of Innsbruck; National Aeronautics &amp; Space Administration (NASA); NASA Goddard Space Flight Center</t>
  </si>
  <si>
    <t>Univ Nacl Rosario, Inst Fis Rosario, CONICET, 27 Febrero 210Bis, RA-2000 Rosario, Santa Fe, Argentina.</t>
  </si>
  <si>
    <t>ruben@ifir.edu.ar</t>
  </si>
  <si>
    <t>Herman, Jay/0000-0002-9146-1632</t>
  </si>
  <si>
    <t>10.1016/j.asr.2003.07.058</t>
  </si>
  <si>
    <t>Engineering, Aerospace; Astronomy &amp; Astrophysics; Education, Scientific Disciplines; Geosciences, Multidisciplinary; Meteorology &amp; Atmospheric Sciences</t>
  </si>
  <si>
    <t>Engineering; Astronomy &amp; Astrophysics; Education &amp; Educational Research; Geology; Meteorology &amp; Atmospheric Sciences</t>
  </si>
  <si>
    <t>BBN84</t>
  </si>
  <si>
    <t>WOS:000226378300020</t>
  </si>
  <si>
    <t>Elachi, C; Allison, MD; Borgarelli, L; Encrenaz, P; Im, E; Janssen, MA; Johnson, WTK; Kirk, RL; Lorenz, RD; Lunine, JI; Muhleman, DO; Ostro, SJ; Picardi, G; Posa, F; Rapley, CG; Roth, LE; Seu, R; Soderblom, LA; Vetrella, S; Wall, SD; Wood, CA; Zebker, HA</t>
  </si>
  <si>
    <t>Radar: The Cassini Titan RADAR Mapper</t>
  </si>
  <si>
    <t>SPACE SCIENCE REVIEWS</t>
  </si>
  <si>
    <t>DIELECTRIC-CONSTANT; SURFACE; MAGELLAN; VENUS; ATMOSPHERE; METHANE; OCEAN; TROPOSPHERE; OCCULTATION; TOPOGRAPHY</t>
  </si>
  <si>
    <t>The Cassini RADAR instrument is a multimode 13.8 GHz multiple-beam sensor that can operate as a synthetic-aperture radar (SAR) imager, altimeter, scatterometer, and radiometer. The principal objective of the RADAR is to map the surface of Titan. This will be done in the imaging, scatterometer, and radiometer modes. The RADAR altimeter data will provide information on relative elevations in selected areas. Surfaces of the Saturn's icy satellites will be explored utilizing the RADAR radiometer and scatterometer modes. Saturn's atmosphere and rings will be probed in the radiometer mode only. The instrument is a joint development by JPL/NASA and ASI. The RADAR design features significant autonomy and data compression capabilities. It is expected that the instrument will detect surfaces with backscatter coefficient as low as -40 dB.</t>
  </si>
  <si>
    <t>CALTECH, Jet Prop Lab, Pasadena, CA 91109 USA; NASA, Goddard Inst Space Studies, New York, NY 10025 USA; Alenia Aerosp, I-00131 Rome, Italy; Observ Paris, F-92195 Meudon, France; US Geol Survey, Flagstaff, AZ 86001 USA; Univ Arizona, Lunar &amp; Planetary Lab, Tucson, AZ 85721 USA; CALTECH, Div Geol &amp; Planetary Sci, Pasadena, CA 91125 USA; Univ Roma La Sapienza, I-00184 Rome, Italy; Politecn Bari, Dip Interateneo Fis, I-70126 Bari, Italy; British Antarctic Survey, Cambridge CB3 0ET, England; Fac Ingn, I-80125 Naples, Italy; Univ N Dakota, Grand Forks, ND 58202 USA; Stanford Univ, Stanford, CA 94305 USA</t>
  </si>
  <si>
    <t>California Institute of Technology; National Aeronautics &amp; Space Administration (NASA); NASA Jet Propulsion Laboratory (JPL); National Aeronautics &amp; Space Administration (NASA); NASA Goddard Space Flight Center; Goddard Institute for Space Studies; Leonardo; Universite PSL; Observatoire de Paris; United States Department of the Interior; United States Geological Survey; University of Arizona; California Institute of Technology; Sapienza University Rome; Politecnico di Bari; UK Research &amp; Innovation (UKRI); Natural Environment Research Council (NERC); NERC British Antarctic Survey; University of North Dakota Grand Forks; Stanford University</t>
  </si>
  <si>
    <t>stephen.d.wall@jpl.nasa.gov</t>
  </si>
  <si>
    <t>Lorenz, Ralph/B-8759-2016</t>
  </si>
  <si>
    <t>Lorenz, Ralph/0000-0001-8528-4644; Lunine, Jonathan/0000-0003-2279-4131; zebker, howard/0000-0001-9931-5237</t>
  </si>
  <si>
    <t>0038-6308</t>
  </si>
  <si>
    <t>1572-9672</t>
  </si>
  <si>
    <t>SPACE SCI REV</t>
  </si>
  <si>
    <t>Space Sci. Rev.</t>
  </si>
  <si>
    <t>1-4</t>
  </si>
  <si>
    <t>10.1007/s11214-004-1438-9</t>
  </si>
  <si>
    <t>905EE</t>
  </si>
  <si>
    <t>WOS:000227549900002</t>
  </si>
  <si>
    <t>Ohmura, A</t>
  </si>
  <si>
    <t>Sparks, RSJ; Hawkesworth, CJ</t>
  </si>
  <si>
    <t>Cryosphere during the twentieth century</t>
  </si>
  <si>
    <t>STATE OF THE PLANET: FRONTIERS AND CHALLENGES IN GEOPHYSICS</t>
  </si>
  <si>
    <t>23rd General Assembly of the International-Union-of-Geodesy-and Geophysics</t>
  </si>
  <si>
    <t>JUL, 2003</t>
  </si>
  <si>
    <t>Sapporo, JAPAN</t>
  </si>
  <si>
    <t>GREENLAND ICE-SHEET; ARCTIC-SEA-ICE; MASS-BALANCE; SHELF; TEMPERATURE; VARIABILITY; THICKNESS; COLLAPSE; RETREAT; GROWTH</t>
  </si>
  <si>
    <t>During the 20th century earth's ice bodies underwent substantial changes. This article reviews the present state of the cryosphere and investigates important variations observed in the seasonal snow cover, sea ice and glaciers. The seasonal snow cover area increased slowly until about 1970 when the area rapidly started to recede. The fastest recession was observed from the 1970s to the 1980s with a mean loss of 1.45 x 10(6) km(2). The most significant retreat occurred in late spring, amounting to 3 X 10(6) km(2) in area and shifting the end of the snow cover season by 3 weeks. While the sea ice extent decreased by 2.8%/decade in the north polar region, it increased by 1.3%/decade in the Antarctic during the last quarter century. The sea ice in the Arctic lost 40% of its thickness during the same time. The retreat of the sea ice limit was most significant in the warmer season. Most mountain glaciers and small ice caps showed significant mass loss during the second half of the last century. The mean increase in the equilibrium line altitude of 36 glaciers was 200 in for the second half of the 20th century. The small number of glaciers with a positive balance also showed increasing rates of melting. The global average specific mean mass balance for the last three decades was -265 mm y(-1) or a loss of 135 km(3) y(-1) corresponding to a 0.4 mm y-1 sea level rise. The rate of mass loss accelerated at 12 mm y(-2). The last decade showed an especially strong loss amounting to -475 mm y(-1), -242 km(3) y(-1) or + 0.7 mm y-1 sea level equivalent. The mass balance of Greenland is negative: -50 to -90 km(3) y(-1), or -34 to -52 mm y(-1) in mean specific balance, corresponding to a sea level contribution of 0.15 to 0.25 mm y(-1). The range of uncertainty for the Antarctic Ice sheet is still large. There is a report giving much less annual loss than the last IPCC report. The present work proposes 260 km(3) y(-1) as the annual total discharge of the terrestrial cryosphere for the second half of 20th century, corresponding to +0.7 mm y(-1) sea level equivalent. The most significant change in the Antarctic is the loss of ice shelves. Since the disappearance of an ice shelf tends to accelerate the flow of the background glaciers directly into the ocean, this may become a dominant mechanism in the future by which the Antarctic ice sheet can influence the sea level.</t>
  </si>
  <si>
    <t>ETH, Inst Atmospher &amp; Climate Sci, CH-8057 Zurich, Switzerland</t>
  </si>
  <si>
    <t>Swiss Federal Institutes of Technology Domain; ETH Zurich</t>
  </si>
  <si>
    <t>ETH, Inst Atmospher &amp; Climate Sci, Winterthurerstr 190, CH-8057 Zurich, Switzerland.</t>
  </si>
  <si>
    <t>0-87590-415-7</t>
  </si>
  <si>
    <t>10.1029/150GM19</t>
  </si>
  <si>
    <t>BBO48</t>
  </si>
  <si>
    <t>WOS:000226692700018</t>
  </si>
  <si>
    <t>Weaver, AJ</t>
  </si>
  <si>
    <t>The UVic Earth System Climate Model and the thermohaline circulation in past, present and future climates</t>
  </si>
  <si>
    <t>NORTH-ATLANTIC OCEAN; LAURENTIDE ICE-SHEET; LAST GLACIAL MAXIMUM; LAND-COVER CHANGE; SEA-LEVEL; DEEP-WATER; LABRADOR SEA; INTERMEDIATE COMPLEXITY; ICEBERG DISCHARGES; THERMAL-EXPANSION</t>
  </si>
  <si>
    <t>Over the last few years significant advances have been made towards understanding the mechanisms behind climate variability over the Last Glacial Cycle. This has become possible through the development of a new breed of climate models of intermediate complexity. In this review, the philosophy behind the development of these models is discussed with particular attention given to the UVic Earth System Climate Model. Results are then surveyed from numerous studies using these intermediate complexity, as well as other, climate models aimed at piecing together puzzles buried within the paleo proxy record. Particular attention is given to the climate feedbacks involved in glacial inception 116,000 years ago, as well as modelling efforts aimed at understanding millennial timescale Dansgaard-Oeschger oscillations and their packaging into Bond Cycles in cold climates, their association with Heinrich events, and their dependence on the mean climatic state. In examining the climate over the last 135,000 years, it is apparent that variations in the formation of intermediate waters, both in the Labrador Sea and the Antarctic Circumpolar Current, have important consequences for the stability and variability of the climate system. A discussion of some future challenges for the climate and paleoclimate community is also given.</t>
  </si>
  <si>
    <t>Univ Victoria, Sch Earth &amp; Ocean Sci, Victoria, BC V8W 2Y2, Canada</t>
  </si>
  <si>
    <t>University of Victoria</t>
  </si>
  <si>
    <t>Univ Victoria, Sch Earth &amp; Ocean Sci, Victoria, BC V8W 2Y2, Canada.</t>
  </si>
  <si>
    <t>weaver@uvic.ca</t>
  </si>
  <si>
    <t>Weaver, Andrew J/E-7590-2011</t>
  </si>
  <si>
    <t>Weaver, Andrew J/0000-0001-8919-3598</t>
  </si>
  <si>
    <t>10.1021/150GM22</t>
  </si>
  <si>
    <t>WOS:000226692700021</t>
  </si>
  <si>
    <t>Troshichev, OA</t>
  </si>
  <si>
    <t>VonSteiger, R; Lui, ATY; Newell, PT; Troshhichev, OA</t>
  </si>
  <si>
    <t>Plasma pressure and the field-aligned currents in the magnetosphere</t>
  </si>
  <si>
    <t>STREAMERS, SLOW SOLAR WIND, AND THE DYNAMICS OF THE MAGNETOSPHERE</t>
  </si>
  <si>
    <t>plasma sheets; low-latitude boundary layer; plasma pressure; field-aligned currents</t>
  </si>
  <si>
    <t>BIRKELAND CURRENTS; BOUNDARY-LAYER; REGION-1; SHEET; GENERATION; GRADIENTS; PRENOON; BRAKING; SYSTEM; NOON</t>
  </si>
  <si>
    <t>Physical principles of formation of field-aligned currents in the magnetosphere were formulated at first more 30 years ago. These principles are based on suggestion that magnetospheric convection is conditioned by the electric field of the solar wind penetrating into the magnetosphere. From the competitive point of view, it is field-aligned currents that are one of the main channels of the magnetosphere influence on the ionosphere processes. In this paper we review the results of experimental analyses and theoretical examinations evidenced that field-aligned currents are generated in association with the plasma pressure gradients in the magnetosphere. (C) 2003 COSPAR. Published by Elsevier Ltd. All rights reserved.</t>
  </si>
  <si>
    <t>Russian Federat, Arctic &amp; Antarctic Res Inst, St Petersburg 199397, Russia</t>
  </si>
  <si>
    <t>Troshichev, OA (corresponding author), Russian Federat, Arctic &amp; Antarctic Res Inst, 38 Bering St, St Petersburg 199397, Russia.</t>
  </si>
  <si>
    <t>10.1016/S0273-1177(03)00637-9</t>
  </si>
  <si>
    <t>BAD22</t>
  </si>
  <si>
    <t>WOS:000221642000010</t>
  </si>
  <si>
    <t>Doran, M</t>
  </si>
  <si>
    <t>Vaughan!Williams:: The film music, vol 1, 'Scott of the Antarctic'; 'Coastal Command'; The 'People's Land' -: Chandos-CHAN-10007 (BBC Philharmonic Orchestra c. R!Gamba, M!Gamba, J!Scott, Sheffield Philharmonic Chorus)</t>
  </si>
  <si>
    <t>TEMPO</t>
  </si>
  <si>
    <t>Record Review</t>
  </si>
  <si>
    <t>Univ Cambridge, Cambridge CB2 1TN, England</t>
  </si>
  <si>
    <t>Doran, M (corresponding author), Univ Cambridge, Cambridge CB2 1TN, England.</t>
  </si>
  <si>
    <t>0040-2982</t>
  </si>
  <si>
    <t>Tempo</t>
  </si>
  <si>
    <t>Music</t>
  </si>
  <si>
    <t>Arts &amp; Humanities Citation Index (A&amp;HCI)</t>
  </si>
  <si>
    <t>808BI</t>
  </si>
  <si>
    <t>WOS:000220544200041</t>
  </si>
  <si>
    <t>Mordvinov, VI; Latysheva, IV; Ivanova, AS</t>
  </si>
  <si>
    <t>Matvienko, GG; Krekov, GM</t>
  </si>
  <si>
    <t>Long-term variations of the atmospheric thermobaric field as deduced from NCAR/NCEP reanalysis</t>
  </si>
  <si>
    <t>TENTH JOINT INTERNATIONAL SYMPOSIUM ON ATMOSPHERIC AND OCEAN OPTICS/ATMOSPHERIC PHYSICS, PT 2: LASER SENSING AND ATMOSPHERIC PHYSICS</t>
  </si>
  <si>
    <t>10th Joint International Symposium on Atmospheric and Ocean Optics/Atmospheric Physics</t>
  </si>
  <si>
    <t>JUN 24-28, 2003</t>
  </si>
  <si>
    <t>Tomsk, RUSSIA</t>
  </si>
  <si>
    <t>general atmospheric circulation; climate; thermobaric field</t>
  </si>
  <si>
    <t>SURFACE TEMPERATURE ANOMALIES; EL-NINO; MECHANISMS</t>
  </si>
  <si>
    <t>Using the data from NCAR/NCEP Reanalysis we investigate long-term variations of thermobaric fields for the second half of the 20-th century. Middle and high latitudes are characterized by 10-20-year variations of meteorological characteristics. A most interesting feature of the global variations is the increase (starting in the 1960s) in pressure and surface air temperature in the tropics and subtropics of the northern and southern hemispheres (predominantly in the eastern hemisphere). In the circum-Antarctic depression the decrease in pressure is as significant. Conceivably the other atmospheric circulation variations might all be accounted for by these changes as well as by a gradual enhancement of the influence of the southern processes. The long-term variations in the tropics seem to be caused by the increased recurrence of El Nino events. The physical transport mechanism for disturbances to the region of Central Asia might be represented by the propagation of mixed Rossby-gravity waves; however, results of correlation analysis suggest much higher propagation velocities of disturbances.</t>
  </si>
  <si>
    <t>Russian Acad Sci, SB, INst Solar Terr Phys, Irkutsk 664033, Russia</t>
  </si>
  <si>
    <t>Irkutsk Science Centre of the Russian Academy of Sciences; Russian Academy of Sciences; Institute of Solar-Terrestrial Physics of the Siberian Branch of the Russian Academy of Sciences</t>
  </si>
  <si>
    <t>Russian Acad Sci, SB, INst Solar Terr Phys, P-B 4026, Irkutsk 664033, Russia.</t>
  </si>
  <si>
    <t>v_mordv@iszf.irk.ru</t>
  </si>
  <si>
    <t>Латышева, Инна/HCH-1211-2022; Mordvinov, Viatcheslav/S-8277-2017</t>
  </si>
  <si>
    <t>Mordvinov, Viatcheslav/0000-0002-6173-0774</t>
  </si>
  <si>
    <t>0-8194-5316-1</t>
  </si>
  <si>
    <t>10.1117/12.548656</t>
  </si>
  <si>
    <t>Environmental Sciences; Meteorology &amp; Atmospheric Sciences; Optics</t>
  </si>
  <si>
    <t>Environmental Sciences &amp; Ecology; Meteorology &amp; Atmospheric Sciences; Optics</t>
  </si>
  <si>
    <t>BY79Q</t>
  </si>
  <si>
    <t>WOS:000189465100040</t>
  </si>
  <si>
    <t>Guarnieri, RA; Padilha, LF; Guarnieri, FL; Echer, E; Makita, K; Pinheiro, DK; Schuch, AMP; Boeira, LS; Schuch, NJ</t>
  </si>
  <si>
    <t>Burrows, JP; Thompson, AM</t>
  </si>
  <si>
    <t>A study of the anticorrelations between ozone and UV-B radiation using linear and exponential fits in southern Brazil</t>
  </si>
  <si>
    <t>TRACE CONSTITUENTS IN THE TROPOSPHERE AND LOWER STRATOSPHERE</t>
  </si>
  <si>
    <t>ozone; UV-B radiation; anticorrelations; RAFs; southern Brazil; Southern Space Observatory</t>
  </si>
  <si>
    <t>ULTRAVIOLET-RADIATION; ANTARCTIC PENINSULA; ENVIRONMENT; IRRADIANCE; DEPLETION</t>
  </si>
  <si>
    <t>The aim of this work was to study the anticorrelation between ozone and UV-B radiation. The data were collected at the Southern Space Observatory (OES/CRSPE/INPE - MCT), located in the southern part of Brazil, and analyzed by linear and first order exponential fits. The UV-B radiation (280-315 nm) was measured by the UV-B radiometer (Eko Instruments - model MS-210W) and the total ozone column was measured by the Total Ozone Mapping Spectrometer (TOMS) installed on board of NASA's Earth Probe satellite. The UV-B radiation measurements employed for correlation analysis (from July 1999 to December 2001) had fixed solar zenith angles and were taken on days with clear sky. The mathematical behavior of correlations at different angles was observed and correlation coefficients were determined by linear and first order exponential fits. High correlation coefficient values were obtained for both fits studied and the differences between them can be considered small. The values for linear fits varied from R-2 = 0.64 (SZA 55degrees) to 0.90 (SZA 30degrees and 35degrees) and for exponential fits varied from R-2 = 0.63 (SZA 55degrees) to 0.85 (SZA 30degrees and 35degrees). (C) 2004 COSPAR. Published by Elsevier Ltd. All rights reserved.</t>
  </si>
  <si>
    <t>Univ Fed Santa Maria, LACESM, CT, BR-97110970 Santa Maria, RS, Brazil; INPE, Ctr Reg Sul Pesquisas Espaciais, CRSPE, BR-97110970 Santa Maria, RS, Brazil; INPE, BR-12201970 Sao Jose Dos Campos, SP, Brazil; Takushoka Univ, Fac Engn, Tokyo 1930944, Japan; Univ Fed Santa Maria, DEQ, CT, BR-97110970 Santa Maria, RS, Brazil</t>
  </si>
  <si>
    <t>Universidade Federal de Santa Maria (UFSM); Instituto Nacional de Pesquisas Espaciais (INPE); Instituto Nacional de Pesquisas Espaciais (INPE); Universidade Federal de Santa Maria (UFSM)</t>
  </si>
  <si>
    <t>Univ Fed Santa Maria, LACESM, CT, POB 5021, BR-97110970 Santa Maria, RS, Brazil.</t>
  </si>
  <si>
    <t>ricardog@lacesm.ufsm.br</t>
  </si>
  <si>
    <t>Pinheiro, Damaris Kirsch/AAE-6120-2020; Schuch, Nelson Jorge/K-9730-2015; Guarnieri, Fernando Luís/A-6549-2010; Padilha, Liana/AAK-4960-2020; Boeira, Lúcia Schuch/AAB-4647-2021</t>
  </si>
  <si>
    <t>Pinheiro, Damaris Kirsch/0000-0001-6939-7091; Padilha, Liana/0000-0001-8999-3616; Boeira, Lúcia Schuch/0000-0002-5471-0978; Guarnieri, Fernando Luis/0009-0007-2353-2594; Guarnieri, Ricardo Andre/0000-0001-9045-058X</t>
  </si>
  <si>
    <t>10.1016/j.asr.2003.06.040</t>
  </si>
  <si>
    <t>Engineering, Aerospace; Astronomy &amp; Astrophysics; Geosciences, Multidisciplinary; Meteorology &amp; Atmospheric Sciences; Remote Sensing</t>
  </si>
  <si>
    <t>Engineering; Astronomy &amp; Astrophysics; Geology; Meteorology &amp; Atmospheric Sciences; Remote Sensing</t>
  </si>
  <si>
    <t>BAU49</t>
  </si>
  <si>
    <t>WOS:000223618200015</t>
  </si>
  <si>
    <t>Sioris, CE; Kurosu, TP; Martin, RV; Chance, K</t>
  </si>
  <si>
    <t>Stratospheric and tropospheric NO2 observed by SCIAMACHY:: first results</t>
  </si>
  <si>
    <t>NITROGEN-DIOXIDE; RADIATIVE-TRANSFER; MODEL; PARAMETERS; SATELLITE; RETRIEVAL; SPECTRUM</t>
  </si>
  <si>
    <t>Observations from the Scanning Imaging Absorption Spectrometer for Atmospheric Chartography (SCIAMACHY) onboard Envisat are used to quantifying the vertical distribution of stratospheric nitrogen dioxide (11-41 km) from limb scattering geometry and the tropospheric column from limb-nadir matching. SClAMACHY is validated with spatially and temporally coincident observations from Optical Spectrograph and Infrared Imager System (OSIRIS) and from Halogen Occultation Experiment (HALOE). Comparison with the Canadian Middle Atmosphere Model provides a further check of consistency. Errors in pointing are detected and corrected using the recently developed 'spectral knee' technique. An instrumental artifact, presumably a tangent-height-dependent wavelength drift, is causing fine spectral structure but can be taken into account as a pseudo-absorber in the least squares fitting. Extending the fitting window to longer wavelengths than those currently employed by other optical satellite-borne NO2 sensors allows for the retrieval to penetrate the lower stratosphere. This extended fitting window is used to retrieve lower stratospheric NO2 in the denoxified Antarctic polar vortex. Finally, tropospheric NO2 columns, retrieved from limb-nadir matching, are presented. Published by Elsevier Ltd on behalf of COSPAR.</t>
  </si>
  <si>
    <t>Smithsonian Astrophys Observ, Cambridge, MA 02138 USA</t>
  </si>
  <si>
    <t>Harvard University; Smithsonian Astrophysical Observatory; Smithsonian Institution</t>
  </si>
  <si>
    <t>Sioris, CE (corresponding author), Smithsonian Astrophys Observ, 60 Garden St,Mail Stop 50, Cambridge, MA 02138 USA.</t>
  </si>
  <si>
    <t>csioris@cfa.harvard.edu</t>
  </si>
  <si>
    <t>kurosu, thomas p/F-8040-2013; Martin, Randall/A-2051-2008; Martin, Randall/C-1205-2014</t>
  </si>
  <si>
    <t>Chance, Kelly/0000-0002-7339-7577; Sioris, Christopher/0000-0003-1168-8755; Martin, Randall/0000-0003-2632-8402</t>
  </si>
  <si>
    <t>10.1016/j.asr.2003.08.066</t>
  </si>
  <si>
    <t>WOS:000223618200018</t>
  </si>
  <si>
    <t>Kühl, S; Wilms-Grabe, W; Beirle, S; Frankenberg, C; Grzegorski, M; Hollwedel, J; Khokhar, F; Kraus, S; Platt, U; Sanghavi, S; von Friedeburg, C; Wagner, T</t>
  </si>
  <si>
    <t>Stratospheric chlorine activation in the Arctic winters 1995/96-2001/02 derived from GOME OClO measurements</t>
  </si>
  <si>
    <t>GOME; OClO; stratospheric chlorine activation; Arctic winters</t>
  </si>
  <si>
    <t>MONITORING EXPERIMENT GOME; OZONE DEPLETION; DENITRIFICATION</t>
  </si>
  <si>
    <t>In this article, we present satellite observations of OClO from the years 1995-2002. The focus is on observations of OClO in the Arctic wintertime stratosphere, which are compared to results of the SLIMCAT model and to observations in the Antarctic. In particular, we investigated the beginning and ending of the chlorine activation in the Arctic stratosphere. The Slant Column Densities (SCDs) of OClO increase significantly, when the temperature falls below the threshold for formation of Polar Stratospheric Clouds. The time for decrease of the OClO-SCDs in the deactivation phase (early spring) varies strongly and is related to the degree of denitrification. In the Arctic, chlorine activation can be further increased when there is strong activity of stratospheric mountain waves. (C) 2004 COSPAR. Published by Elsevier Ltd. All rights reserved.</t>
  </si>
  <si>
    <t>Univ Heidelberg, Inst Umweltphys, D-69120 Heidelberg, Germany</t>
  </si>
  <si>
    <t>Ruprecht Karls University Heidelberg</t>
  </si>
  <si>
    <t>skuehl@iup.uni-heidelberg.de</t>
  </si>
  <si>
    <t>Frankenberg, Christian/A-2944-2013</t>
  </si>
  <si>
    <t>Frankenberg, Christian/0000-0002-0546-5857; Beirle, Steffen/0000-0002-7196-0901; von Friedeburg, Christoph/0000-0002-9497-5700</t>
  </si>
  <si>
    <t>10.1016/j.asr.2003.08.069</t>
  </si>
  <si>
    <t>WOS:000223618200021</t>
  </si>
  <si>
    <t>Takeshita, S; Sasaki, M</t>
  </si>
  <si>
    <t>Slusser, JR; Herman, JR; Gao, W; Bernhard, G</t>
  </si>
  <si>
    <t>Evaluation of a calibration constant of a narrow-band solar UV-B radiometer</t>
  </si>
  <si>
    <t>ULTRAVIOLET GROUND- AND SPACE-BASED MEASUREMENTS, MODELS, AND EFFECTS IV</t>
  </si>
  <si>
    <t>Conference on Ultraviolet Ground- and Space-based Measurements, Models and Effects IV</t>
  </si>
  <si>
    <t>AUG 05-06, 2004</t>
  </si>
  <si>
    <t>calibration constant; narrow-band; ozone; radiometer; solar UV-B radiation; standard lamp</t>
  </si>
  <si>
    <t>ULTRAVIOLET-RADIATION; ANTARCTIC OZONE; JAPAN; IRRADIANCE; DEPLETION; 35-DEGREES-N; TRENDS; 1990S</t>
  </si>
  <si>
    <t>Since 1990, global solar UV-B irradiance has been measured by a narrow-band solar UV-B radiometer at Hiratsuka, Japan. To detect long-term trend of global solar UV-B irradiance measured by the narrow-band solar UV-B radiometer, evaluation of a calibration constant of the radiometer for accurate measurement is essential. Thus, for estimating trend of global solar UV-B irradiance from 2000 to 2003, the calibration constant of the narrow-band solar UV-B radiometer was evaluated by applying three methods. The first method is based on a spectral irradiance standard lamp, which has been applied when evaluating long-term trend of global solar UV-B irradiance from October 1990 to September 2000. The second one is based on a reference narrow-band solar UV-B radiometer. Global solar UV-B irradiance measured by our narrow-band solar UV-B radiometer was compared with that of the reference narrow-band solar UV-B radiometer under natural sunlight. The third one is based on the total ozone amount. The results with three methods showed good agreement within 5%, leading to the conclusion that three methods are comparable in evaluating the calibration constant of the narrow-band solar UV-B radiometer.</t>
  </si>
  <si>
    <t>Tokai Univ, Res Inst Sci &amp; Technol, Hiratsuka, Kanagawa 2591292, Japan</t>
  </si>
  <si>
    <t>Tokai University</t>
  </si>
  <si>
    <t>Takeshita, S (corresponding author), Tokai Univ, Res Inst Sci &amp; Technol, 1117 Kitakaname, Hiratsuka, Kanagawa 2591292, Japan.</t>
  </si>
  <si>
    <t>0-8194-5483-4</t>
  </si>
  <si>
    <t>10.1117/12.560326</t>
  </si>
  <si>
    <t>Instruments &amp; Instrumentation</t>
  </si>
  <si>
    <t>BBD68</t>
  </si>
  <si>
    <t>WOS:000225039800007</t>
  </si>
  <si>
    <t>Childerhouse, S; Dickie, G; Hessel, G</t>
  </si>
  <si>
    <t>Ageing live New Zealand sea lions (Phocarctos hookeri) using the first post-canine tooth</t>
  </si>
  <si>
    <t>WILDLIFE RESEARCH</t>
  </si>
  <si>
    <t>ANTARCTIC FUR SEALS; ARCTOCEPHALUS-GAZELLA; AGE-DETERMINATION; GROWTH; GROENLANDICA; REPRODUCTION; ABUNDANCE</t>
  </si>
  <si>
    <t>Live New Zealand sea lions (Phocarctos hookeri) were aged from growth layer groups (GLGs) in the cementum of a lower first post-canine tooth. A single post-canine (PC1) was removed from individuals of known-age (n = 74) between 1997 and 2001 while under a full anaesthetic. Teeth were decalcified, sectioned on a cryostat, stained and then mounted on glass slides. Age was estimated by counting GLGs in the cementum multiple times. Age estimates were calibrated with known-aged individuals and confirmed the annual formation of cementum annuli in PC1 tooth. While there is some variation in assigning exact age to individuals, it was possible to age 94% of teeth to the exact year or to within 1 year of actual age. There was no significant difference in the slope of regression lines associated with actual and estimated age using this technique (t-test, t = 0.309, d.f. = 144, P &lt; 0.05). Accuracy in ageing was improved by discarding sets of readings with low precision and re-reading the tooth until a precise set of estimates was made. GLGs in the cementum were more accurate and robust for age estimation than using GLGs in the dentine. This paper describes a reliable method for the preparation and ageing of the first post-canine tooth ( PC1) from live New Zealand sea lions.</t>
  </si>
  <si>
    <t>Dept Conservat, Sci &amp; Res Unit, Wellington, New Zealand; Univ Otago, Dept Marine Sci, Dunedin, New Zealand; Massey Univ, IVABS, Palmerston North, New Zealand</t>
  </si>
  <si>
    <t>University of Otago; Massey University</t>
  </si>
  <si>
    <t>Childerhouse, S (corresponding author), Dept Conservat, Sci &amp; Res Unit, POB 10-420, Wellington, New Zealand.</t>
  </si>
  <si>
    <t>schilderhouse@doc.govt.nz</t>
  </si>
  <si>
    <t>1035-3712</t>
  </si>
  <si>
    <t>WILDLIFE RES</t>
  </si>
  <si>
    <t>Wildl. Res.</t>
  </si>
  <si>
    <t>10.1071/WR03006</t>
  </si>
  <si>
    <t>Ecology; Zoology</t>
  </si>
  <si>
    <t>Environmental Sciences &amp; Ecology; Zoology</t>
  </si>
  <si>
    <t>823SN</t>
  </si>
  <si>
    <t>WOS:000221633500008</t>
  </si>
  <si>
    <t>Gales, N; McCauley, RD; Lanyon, J; Holley, D</t>
  </si>
  <si>
    <t>Change in abundance of dugongs in Shark Bay, Ningaloo and Exmouth Gulf, Western Australia: evidence for large-scale migration</t>
  </si>
  <si>
    <t>AERIAL SURVEY; LIFE-HISTORY; REEF; AREAS</t>
  </si>
  <si>
    <t>The third in a series of five-yearly aerial surveys for dugongs in Shark Bay, Ningaloo Reef and Exmouth Gulf was conducted in July 1999. The first two surveys provided evidence of an apparently stable population of dugongs, with similar to 1000 animals in each of Exmouth Gulf and Ningaloo Reef, and 10000 in Shark Bay. We report estimates of less than 200 for each of Exmouth Gulf and Ningaloo Reef and similar to 14000 for Shark Bay. This is an apparent overall increase in the dugong population over this whole region, but with a distributional shift of animals to the south. The most plausible hypothesis to account for a large component of this apparent population shift is that animals in Exmouth Gulf and Ningaloo Reef moved to Shark Bay, most likely after Tropical Cyclone Vance impacted available dugong forage in the northern habitat. Bias associated with survey estimate methodology, and normal changes in population demographics may also have contributed to the change. The movement of large numbers of dugongs over the scale we suggest has important management implications. First, such habitat-driven shifts in regional abundance will need to be incorporated in assessing the effectiveness of marine protected areas that aim to protect dugongs and their habitat. Second, in circumstances where aerial surveys are used to estimate relative trends in abundance of dugongs, animal movements of the type we propose could lead to errors in interpretation.</t>
  </si>
  <si>
    <t>Curtin Univ, Ctr Marine Sci &amp; Technol, Perth, WA 6845, Australia; Univ Queensland, Dept Zool &amp; Entomol, Brisbane, Qld 4072, Australia; Dept Conservat &amp; Land Management, Bentley, WA 6983, Australia</t>
  </si>
  <si>
    <t>Curtin University; University of Queensland</t>
  </si>
  <si>
    <t>Gales, N (corresponding author), Australian Antarctic Div, Channel Highway, Kingston, Tas 7050, Australia.</t>
  </si>
  <si>
    <t>Lanyon, Janet/JYP-1848-2024</t>
  </si>
  <si>
    <t>Lanyon, Janet/0000-0003-1453-5594</t>
  </si>
  <si>
    <t>10.1071/WR02073</t>
  </si>
  <si>
    <t>833BN</t>
  </si>
  <si>
    <t>WOS:000222311500007</t>
  </si>
  <si>
    <t>Cooke, BD; Chapuis, JL; Magnet, V; Lucas, A; Kovaliski, J</t>
  </si>
  <si>
    <t>Potential use of myxoma virus and rabbit haemorrhagic disease virus to control feral rabbits in the Kerguelen Archipelago</t>
  </si>
  <si>
    <t>ORYCTOLAGUS-CUNICULUS; BIOLOGICAL-CONTROL; ISLANDS; ERADICATION; IMPACT; CATS; FLEA; RHD</t>
  </si>
  <si>
    <t>Rabbits have caused enormous damage to the vegetation on seven islands in the sub-Antarctic Kerguelen archipelago, including the main island, Grande Terre. Rabbit sera collected during 2001 - 02 were tested for antibodies against myxoma virus and rabbit haemorrhagic disease virus with a view to considering the wider use of these viruses to control rabbits. The results confirmed work done 15 - 20 years earlier that suggested that myxoma virus has not spread across all parts of Grande Terre and occurs at low prevalence among rabbits. By contrast, on Ile du Cimetiere, where European rabbit fleas were introduced in 1987 - 88, the prevalence of myxoma antibodies is high and the rabbit population is relatively low, supporting the idea that the fleas are effective vectors of myxoma virus. Consequently, there should be benefits in releasing fleas on Grand Terre to enhance disease transmission. Reactivity of some rabbit sera in RHD-specific ELISAs suggested that a virus similar to RHDV may be present at low prevalence on Grande Terre but most rabbits are likely to be susceptible and this virus could be considered for use as a future biological control agent.</t>
  </si>
  <si>
    <t>Fdn Charles Darwin, Estac Cient Charles Darwin, Quito, Ecuador; Museum Natl Hist Nat, Dept Ecol &amp; Gest Biodivers, USM Inventaire &amp; Suivi Biodivers 2699, F-75005 Paris, France; UMR 6553 Ecobio, F-75005 Paris, France; Anim &amp; Plant Control Commiss, Adelaide, SA 5001, Australia</t>
  </si>
  <si>
    <t>Museum National d'Histoire Naturelle (MNHN); Centre National de la Recherche Scientifique (CNRS); CNRS - Institute of Ecology &amp; Environment (INEE)</t>
  </si>
  <si>
    <t>Fdn Charles Darwin, Estac Cient Charles Darwin, Casilla 17-01-3891, Quito, Ecuador.</t>
  </si>
  <si>
    <t>bcooke@fcdarwin.org.ec</t>
  </si>
  <si>
    <t>Cooke, Brian/0000-0001-7430-1824</t>
  </si>
  <si>
    <t>1448-5494</t>
  </si>
  <si>
    <t>10.1071/WR03084</t>
  </si>
  <si>
    <t>849CP</t>
  </si>
  <si>
    <t>WOS:000223516600008</t>
  </si>
  <si>
    <t>van den Hoff, J; Sumner, MD; Field, IC; Bradshaw, CJA; Burton, HR; McMahon, CR</t>
  </si>
  <si>
    <t>Temporal changes in the quality of hot-iron brands on elephant seal (Mirounga leonina) pups</t>
  </si>
  <si>
    <t>MACQUARIE-ISLAND; ANESTHESIA; MASS</t>
  </si>
  <si>
    <t>Hot-iron brands were used to mark permanently 14000 six-week-old southern elephant seal (Mirounga leonina L.) pups at Macquarie Island between 1993 and 2000. We assessed temporal changes in the quality of 4932 brands applied in 1998 and 1999 to determine the duration of the brand wound, and the relationships between brand healing, brand readability and the amount of skin and hair damage peripheral to the brand characters. Most (98%) brand wounds were healed within one year. Brand-mark healing, peripheral skin damage and brand readability were significantly (P&lt;0.05) correlated. The proportion of healed and readable brands increased in the population during the first annual moult, and thereafter these proportions remained high (&gt;95%) for the marked population. The mean number of brand characters with peripheral skin damage decreased significantly over the same period. The seal's annual hair and skin moult is the process that contributed most to the healing of brand wounds. We also assessed our branding technique to determine whether any of the features we measured contributed to a poor-quality brand. Excessive pressure used during brand-iron application is the most probable cause of unsightly peripheral skin damage, but this damage is short lived.</t>
  </si>
  <si>
    <t>Australian Antarctic Div, Kingston, Tas 7050, Australia; Univ Tasmania, Antarctic Wildlife Res Unit, Sch Zool, Hobart, Tas 7001, Australia</t>
  </si>
  <si>
    <t>Australian Antarctic Div, 203 Channel Highway, Kingston, Tas 7050, Australia.</t>
  </si>
  <si>
    <t>john_van@aad.gov.au</t>
  </si>
  <si>
    <t>Field, Iain C/D-3934-2009; Sumner, Michael D/J-3478-2013; Bradshaw, Corey J. A./A-1311-2008; McMahon, Clive R/D-5713-2013</t>
  </si>
  <si>
    <t>Bradshaw, Corey J. A./0000-0002-5328-7741; McMahon, Clive R/0000-0001-5241-8917; Sumner, Michael/0000-0002-2471-7511</t>
  </si>
  <si>
    <t>10.1071/WR03101</t>
  </si>
  <si>
    <t>882CQ</t>
  </si>
  <si>
    <t>WOS:000225916600008</t>
  </si>
  <si>
    <t>Detrich, HW; Yergeau, DA</t>
  </si>
  <si>
    <t>Detrich, HW; Westerfield, M; Zon, LI</t>
  </si>
  <si>
    <t>Comparative genomics in erythropoletic gene discovery: Synergisms between the Antarctic icefishes and the zebrafish</t>
  </si>
  <si>
    <t>ZEBRAFISH:2ND EDITION GENETICS GENOMICS AND INFORMATICS</t>
  </si>
  <si>
    <t>Methods in Cell Biology</t>
  </si>
  <si>
    <t>GDP-DISSOCIATION INHIBITOR; REPRESENTATIONAL DIFFERENCE ANALYSIS; CLASS-I; BINDING PROTEIN; ANTIGEN-EXPRESSION; HLA-DR; IDENTIFICATION; ERYTHROPOIESIS; ERYTHROCYTES; DETERMINANT</t>
  </si>
  <si>
    <t>Northeastern Univ, Dept Biol, Boston, MA 02115 USA</t>
  </si>
  <si>
    <t>Northeastern University</t>
  </si>
  <si>
    <t>Northeastern Univ, Dept Biol, Boston, MA 02115 USA.</t>
  </si>
  <si>
    <t>ELSEVIER ACADEMIC PRESS INC</t>
  </si>
  <si>
    <t>525 B STREET, SUITE 1900, SAN DIEGO, CA 92101-4495 USA</t>
  </si>
  <si>
    <t>0091-679X</t>
  </si>
  <si>
    <t>0-12-564172-9</t>
  </si>
  <si>
    <t>METHOD CELL BIOL</t>
  </si>
  <si>
    <t>Methods Cell Biol.</t>
  </si>
  <si>
    <t>BBL01</t>
  </si>
  <si>
    <t>WOS:000225969100026</t>
  </si>
  <si>
    <t>Vasileva-Tonkova, E; Gesheva, V</t>
  </si>
  <si>
    <t>Potential for biodegradation of hydrocarbons by microorganisms isolated from antarctic soils</t>
  </si>
  <si>
    <t>ZEITSCHRIFT FUR NATURFORSCHUNG SECTION C-A JOURNAL OF BIOSCIENCES</t>
  </si>
  <si>
    <t>hydrocarbons; hydrophobicity; emulsifying activity</t>
  </si>
  <si>
    <t>MICROBIAL SURFACTANTS; VESTFOLD HILLS; BIOSURFACTANT; BACTERIA; BIOREMEDIATION; HYDROPHOBICITY</t>
  </si>
  <si>
    <t>Seventeen pure aerobic microbial isolates were obtained from soil samples of three regions of Antarctica: Casey Station, Dewart Island and Terra Nova Bay. Most of them were gram positive coryneform bacteria. Isolates were tested for their ability to grow on mineral salt agar plates supplemented with one of the following model n-alkanes or aromatic hydrocarbons: hexane, heptane, paraffin, benzene, toluene, naphthalene and kerosene. Cell hydrophobicity, the ability to produce anionic glycolipids and extracellular emulsifying activity were also determined and assessed on the basis of growth of soil isolates on hydrocarbons. This study revealed degraders with broader abilities to grow on both types of hydrocarbons, good production of glycolipids and emulsifying activity. On this basis, a mixed culture of strains is proposed, which may find application for bioremediation at temperate temperature of soil environments polluted with different hydrocarbons.</t>
  </si>
  <si>
    <t>Bulgarian Acad Sci, Inst Microbiol, BU-1113 Sofia, Bulgaria</t>
  </si>
  <si>
    <t>Medical University Sofia; Bulgarian Academy of Sciences</t>
  </si>
  <si>
    <t>Bulgarian Acad Sci, Inst Microbiol, Acad G Bonchev Str,Bl 26, BU-1113 Sofia, Bulgaria.</t>
  </si>
  <si>
    <t>evaston@yahoo.com</t>
  </si>
  <si>
    <t>0939-5075</t>
  </si>
  <si>
    <t>1865-7125</t>
  </si>
  <si>
    <t>Z NATURFORSCH C</t>
  </si>
  <si>
    <t>Z.Naturforsch.(C)</t>
  </si>
  <si>
    <t>811SA</t>
  </si>
  <si>
    <t>WOS:000220790400027</t>
  </si>
  <si>
    <t>Rodger, CJ; Clilverd, MA; McCormick, RJ</t>
  </si>
  <si>
    <t>Significance of lightning-generated whistlers to inner radiation belt electron lifetimes</t>
  </si>
  <si>
    <t>whistlers; inner radiation belt; electron precipitation; Trimpi; lightning; wave-particle interaction</t>
  </si>
  <si>
    <t>PARTICLE-PRECIPITATION; VLF PERTURBATIONS; TRIMPI EVENTS; UNITED-STATES; MAGNETOSPHERE; SATELLITE; WAVES; CLOUD; PLASMASPHERE; ENHANCEMENTS</t>
  </si>
  <si>
    <t>The behavior of high-energy electrons trapped in the Earth's Van Allen radiation belts has been extensively studied, through both experimental and theoretical techniques. While the evidence for whistler induced electron precipitation (WEP) from the radiation belts is overwhelming, and the mechanisms behind WEP are well understood, the overall significance of WEP on radiation belt loss rates has not been clear. In this paper we investigate the L-shell variation and significance of WEP-driven loss of Van Allen belt electrons by combining in situ measurements of electron precipitation, local WEP rates determined from Trimpi perturbations, and global lightning distributions. Our modeling suggests that long-term WEP driven losses are more significant than all other inner radiation belt loss processes for electron kinetic energies in the range similar to50-150 keV in the L-shell range L=2-2.4. These calculated lifetimes are comparable to the observed decay rates of artificially injected high-energy electrons. The upper energy limit of the WEP significance range increases with decreasing L to similar to225 keV at L=2. For electron energies above this range manmade VLF transmitters and plasmaspheric hiss should dominate over all other loss processes. However, as our lifetimes are based on rather conservative parameter estimates, these conclusions should represent the lower bounds for the energy ranges over which WEP losses are significant. For lower L-shells the coupling of lightning activity to the production of WEP events rapidly decreases, such that by Lsimilar to1.7 WEP will be unimportant in the overall loss processes.</t>
  </si>
  <si>
    <t>Univ Otago, Dept Phys, Dunedin, New Zealand; British Antarctic Survey, Div Phys Sci, Cambridge CB3 0ET, England</t>
  </si>
  <si>
    <t>University of Otago; UK Research &amp; Innovation (UKRI); Natural Environment Research Council (NERC); NERC British Antarctic Survey</t>
  </si>
  <si>
    <t>Univ Otago, Dept Phys, POB 56, Dunedin, New Zealand.</t>
  </si>
  <si>
    <t>crodger@physics.otago.ac.nz; m.clilverd@bas.ac.uk; rmccormick@physics.otago</t>
  </si>
  <si>
    <t>DEC 31</t>
  </si>
  <si>
    <t>A12</t>
  </si>
  <si>
    <t>10.1029/2003JA009906</t>
  </si>
  <si>
    <t>761JZ</t>
  </si>
  <si>
    <t>WOS:000187898400003</t>
  </si>
  <si>
    <t>Newman, SJ; Ritz, D; Nicol, S</t>
  </si>
  <si>
    <t>Behavioural reactions of Antarctic krill (Euphausia superba Dana) to ultraviolet and photosynthetically active radiation</t>
  </si>
  <si>
    <t>JOURNAL OF EXPERIMENTAL MARINE BIOLOGY AND ECOLOGY</t>
  </si>
  <si>
    <t>ultraviolet radiation; krill; Euphausia superba; UVA; UVB; PAR; behaviour</t>
  </si>
  <si>
    <t>UV-B RADIATION; SEA ICE BIOTA; VERTICAL-DISTRIBUTION; SPECTRAL SENSITIVITIES; PLANKTONIC COPEPOD; VISUAL PIGMENTS; ZOOPLANKTON; MORTALITY; CRUSTACEA; PHYTOPLANKTON</t>
  </si>
  <si>
    <t>We used broad, shallow and deep, narrow aquarium tanks to examine the behavioural responses of Antarctic krill to photosynthetically active radiation (PAR) and ultraviolet (UV) radiation. Groups of animals were exposed to different levels of radiation and to gradients of radiation and their mean position in the tanks were recorded photographically. Results from the horizontal tank (length 2.4 m) showed that krill moved from areas of high levels (7 W m(-2)) of UVA exposure (320-400 nm) to areas of low exposure (0.1 W m(-2)), differing in irradiance by two orders of magnitude. In addition, a similar reaction was observed in krill exposed to a PAR gradient of similar magnitude (30-5 W m(-2)). There was no observed reaction to UVB wavelengths (280-320 nm). Krill in the vertical tank (height 1.5 m) remained evenly distributed throughout the tank when exposed to both high and low levels of PAR. Additional exposure to UVA wavelengths from the surface caused krill to increase their depth in the tank significantly, to areas of lower irradiance. Addition of UVB radiation had no effect on the mean depth of krill in the tank. The implications of these findings are that krill may avoid regions of high UVA or PAR and consequently would reduce their exposure to UVB and therefore the risk of UVB-induced damage, such as disruption to DNA. (C) 2003 Elsevier B.V. All rights reserved.</t>
  </si>
  <si>
    <t>Univ Tasmania, Dept Zool, Hobart, Tas 7001, Australia; Australian Antarctic Div, Kingston, Tas 7050, Australia</t>
  </si>
  <si>
    <t>Food Stand Agcy, Aviat House,125 Kingsway, London WC2B 6NH, England.</t>
  </si>
  <si>
    <t>Stuart.Newman@foodstandards.gsi.gov.uk</t>
  </si>
  <si>
    <t>Newman, Stuart/B-7705-2013</t>
  </si>
  <si>
    <t>Newman, Stuart/0000-0002-4067-5497</t>
  </si>
  <si>
    <t>0022-0981</t>
  </si>
  <si>
    <t>1879-1697</t>
  </si>
  <si>
    <t>J EXP MAR BIOL ECOL</t>
  </si>
  <si>
    <t>J. Exp. Mar. Biol. Ecol.</t>
  </si>
  <si>
    <t>DEC 30</t>
  </si>
  <si>
    <t>10.1016/j.jembe.2003.07.007</t>
  </si>
  <si>
    <t>741XY</t>
  </si>
  <si>
    <t>WOS:000186486700005</t>
  </si>
  <si>
    <t>Matear, RJ; Hirst, AC</t>
  </si>
  <si>
    <t>Long-term changes in dissolved oxygen concentrations in the ocean caused by protracted global warming</t>
  </si>
  <si>
    <t>climate system model; oceanic biogeochemical model; oxygen; protracted global warming; thermocline</t>
  </si>
  <si>
    <t>GENERAL-CIRCULATION MODEL; PERMIAN MASS EXTINCTION; DYNAMIC SEA-ICE; SOUTHERN-OCEAN; ORGANIC-CARBON; CLIMATE-CHANGE; CONTINENTAL-MARGIN; ATMOSPHERE MODEL; COUPLED MODEL; ANOXIA</t>
  </si>
  <si>
    <t>In the Earth's geological record massive marine ecological change has been attributed to the occurrence of widespread anoxia in the ocean [Jahren, 2002; White, 2002; Wignall and Twitchett, 1996]. Climate change projection till the end of this century predict a 4 to 7% decline in the dissolve oxygen in the ocean [Bopp et al., 2002; Matear et al., 2000; Plattner et al., 2001; Sarmiento et al., 1998] suggesting the potential for global warming to eventually drive the deep ocean anoxic. To examine the multicentury impact of protracted global warming on oceanic concentrations of dissolved oxygen, we use a climate system model and a low-order oceanic biogeochemical model. The models are integrated for an atmospheric equivalent CO2 concentration, which is specified to triple according to a standard scenario from the late nineteenth to the late twenty-first century, and then is subsequently held constant at that elevated level for an additional 6 centuries. For the present day, the model successfully reproduced the large-scale features of the dissolved oxygen field in the ocean. In the global warming simulation, the physical model displays marked changes in high-latitude oceanic stratification and overturning, including near-cessation of deep water renewal for depths greater than about 1.5 km during the period of elevated stable CO2 concentration. Our model predicts a decline in oxygen concentration through most of the subsurface ocean. Concentration changes in the thermocline waters result mainly from solubility changes in the upstream source waters, while changes in the deep waters result mainly from lack of ventilation and ongoing consumption of oxygen by remineralization of sinking particulate organic matter. Changes in the upper 2 km of the ocean generally show signs of equilibration by the end of the integration, but at greater depths, there occurs a slow but steady decline through to the end of the integration. By the end of the integration, we simulate a doubling of the volume of hypoxic water (less than 10 mumol/kg) in the thermocline of the eastern equatorial Pacific Ocean. During the integration deep ocean oxygen concentrations generally decline by between 20 and 40%, but, significantly, no extensive deep ocean anoxia develops during the period of integration, nor does it appear that it would likely do so for at least a further 4000 years of integration. Subsurface oxygen decline is moderated by an overall reduction in export production of particulate organic matter, which reduces oxygen consumption in the ocean interior due to the remineralization of this material.</t>
  </si>
  <si>
    <t>CSIRO Marine Res, Hobart, Tas 7001, Australia; Antarctic Cooperat Res Ctr, Hobart, Tas, Australia; CSIRO Atmospher Res, Aspendale, Vic 3195, Australia</t>
  </si>
  <si>
    <t>Commonwealth Scientific &amp; Industrial Research Organisation (CSIRO); Commonwealth Scientific &amp; Industrial Research Organisation (CSIRO)</t>
  </si>
  <si>
    <t>Matear, RJ (corresponding author), CSIRO Marine Res, GPO Box 1538, Hobart, Tas 7001, Australia.</t>
  </si>
  <si>
    <t>richard.matear@csiro.au; ach@dar.csiro.au</t>
  </si>
  <si>
    <t>Hirst, Anthony/N-1041-2014; Hirst, Anthony/E-2756-2013; matear, richard/C-5133-2011</t>
  </si>
  <si>
    <t>matear, richard/0000-0002-3225-0800</t>
  </si>
  <si>
    <t>DEC 26</t>
  </si>
  <si>
    <t>10.1029/2002GB001997</t>
  </si>
  <si>
    <t>760ZM</t>
  </si>
  <si>
    <t>WOS:000187865200001</t>
  </si>
  <si>
    <t>Díaz, S; Nelson, D; Deferrari, G; Camilión, C</t>
  </si>
  <si>
    <t>Estimated and measured DNA, plant-chromosphere and erythemal-weighted irradiances at Barrow and South Pole (1979-2000)</t>
  </si>
  <si>
    <t>AGRICULTURAL AND FOREST METEOROLOGY</t>
  </si>
  <si>
    <t>Conference on Ultraviolet Ground- and Space-based Measurements, Models, and Effects</t>
  </si>
  <si>
    <t>JUL 30-AUG 01, 2001</t>
  </si>
  <si>
    <t>SAN DIEGO, CALIFORNIA</t>
  </si>
  <si>
    <t>climate impacts; O-3; UV; solar radiation; irradiance</t>
  </si>
  <si>
    <t>UV-B RADIATION; OZONE DEPLETION; ULTRAVIOLET-IRRADIATION; PHOTOSYNTHESIS; PHYTOPLANKTON; ECOSYSTEMS; SATELLITE; CANCER; DAMAGE; SKIN</t>
  </si>
  <si>
    <t>In the last two decades as a consequence of ozone depletion there has been an increasing interest in the study of biological effects of ultraviolet radiation (UV). Spectral instruments, which provide detailed information on UV environmental conditions, have been in use systematically only for little more than a decade. These time series are still relatively short and information on spectral historical irradiance levels is not available. Many efforts have been carried out in inferring this information from other available data sets. One of them has been the use of statistical models. Spectral irradiances are available at South Pole (90degrees00'S 0) and Barrow (71degrees18'N, 156degrees47'W) from the NSF UV Radiation Monitoring Program since 1991. In the present paper, daily-integrated biologically weighted irradiances for these sites are inferred back to 1979 using a multi-regressive model, obtaining time series that extend near the beginning of the Antarctic ozone depletion. These datasets are unique since the daily-integrated irradiances were calculated from irradiance measured hourly at the earth's surface. The biologically weighted irradiances are estimated from irradiance measured with broadband instruments, ozone, and solar zenith angles. From daily-integrated irradiance, monthly means were also calculated. The RMS errors between the estimated and measured daily-integrated irradiances range from 4.69 to 7.49% at South Pole and from 9.57 to 15.20% at Barrow, while the monthly mean errors vary from 2.07 to 3% and 2.95 to 3.91%, respectively. Completing the databases with spectral measurements, the resulting time series extend from 1979 to 2000. Analyzing monthly values an increase relative to 1979-1981 during all years is observed at South Pole. Largest increases are observed for DNA and plant-chromosphere weighted irradiances during October. Although at a lower rate, an increase is also observed at Barrow during the spring. Maximum monthly increase at South Pole during October is near 1200% relative to 1979-1981, while the increase at Barrow is near one tenth of that percentage. Daily-integrated irradiance shows that a slight increase was present during the spring at South Pole for the period 1979-1981 reflecting the beginning of the ozone depletion. Historical maximums of daily-integrated DNA weighted irradiance at South Pole (90degrees00'S, 0degrees00') are about as large as summer maximums at San Diego (32degrees45'N, 117degrees11'W). (C) 2003 Elsevier B.V. All rights reserved.</t>
  </si>
  <si>
    <t>Consejo Nacl Invest Cient &amp; Tecn, CADIC, RA-1033 Buenos Aires, DF, Argentina; NOAA, CMDL, Boulder, CO 80303 USA; NSF, CADIC, Ushuaia, DF, Argentina; IAI, CADIC, Ushuaia, DF, Argentina</t>
  </si>
  <si>
    <t>Consejo Nacional de Investigaciones Cientificas y Tecnicas (CONICET); National Oceanic Atmospheric Admin (NOAA) - USA</t>
  </si>
  <si>
    <t>Díaz, S (corresponding author), Consejo Nacl Invest Cient &amp; Tecn, CADIC, RA-1033 Buenos Aires, DF, Argentina.</t>
  </si>
  <si>
    <t>0168-1923</t>
  </si>
  <si>
    <t>AGR FOREST METEOROL</t>
  </si>
  <si>
    <t>Agric. For. Meteorol.</t>
  </si>
  <si>
    <t>DEC 24</t>
  </si>
  <si>
    <t>10.1016/j.agrformet.2003.08.017</t>
  </si>
  <si>
    <t>Agronomy; Forestry; Meteorology &amp; Atmospheric Sciences</t>
  </si>
  <si>
    <t>Agriculture; Forestry; Meteorology &amp; Atmospheric Sciences</t>
  </si>
  <si>
    <t>755LB</t>
  </si>
  <si>
    <t>WOS:000187403400008</t>
  </si>
  <si>
    <t>Bory, AJM; Biscaye, PE; Piotrowski, AM; Steffensen, JP</t>
  </si>
  <si>
    <t>Regional variability of ice core dust composition and provenance in Greenland</t>
  </si>
  <si>
    <t>mineral dust; Greenland; ice core; mineralogical tracers; isotopic (Sr and nd) tracers; atmospheric composition and structure : aerosols and particles (0345,4801); atmospheric composition and structure : constituent sources and sinks; global change : atmosphere (0315,0325)</t>
  </si>
  <si>
    <t>MINERAL DUST; NORTHGRIP; SHEET</t>
  </si>
  <si>
    <t>Mineralogical and isotopic composition (Sr and Nd) of six dust samples, obtained from six widely spread ice-coring sites in Greenland, were analyzed in order to investigate the regional geographic variability of dust provenance. We show that long-range transport from eastern Asian deserts provides mineral dust with essentially the same composition to all elevated interior sites (Dye 3, Site A, GRIP, and NorthGRIP), while most material deposited at sites located closer to the edge and at lower altitude (Hans Tausen and Renland) derives from proximal source regions. No contribution from other sources is apparent at any of the interior sites from the mineralogical and isotopic composition of the dust samples, each of which represents several decades of dust deposition during the 17th-18th century. These results provide additional evidence that African and North American deserts do not play a significant role in the dust deposited over Greenland, which has implications for ice core record interpretation and atmospheric dust transport model validation.</t>
  </si>
  <si>
    <t>British Antarctic Survey, Cambridge CB3 0ET, England; Lamont Doherty Earth Observ, Palisades, NY 10964 USA; Univ Copenhagen, Niels Bohr Inst Astron Phys &amp; Geophys, Dept Geophys, DK-2100 Copenhagen, Denmark</t>
  </si>
  <si>
    <t>UK Research &amp; Innovation (UKRI); Natural Environment Research Council (NERC); NERC British Antarctic Survey; Columbia University; University of Copenhagen; Niels Bohr Institute</t>
  </si>
  <si>
    <t>Bory, AJM (corresponding author), British Antarctic Survey, High Cross,Madingley Rd, Cambridge CB3 0ET, England.</t>
  </si>
  <si>
    <t>Steffensen, Jorgen Peder/JFS-7831-2023</t>
  </si>
  <si>
    <t>Steffensen, Jorgen Peder/0000-0002-5516-1093; BORY, Aloys/0000-0002-0251-6372</t>
  </si>
  <si>
    <t>10.1029/2003GC000627</t>
  </si>
  <si>
    <t>760ZE</t>
  </si>
  <si>
    <t>WOS:000187864500001</t>
  </si>
  <si>
    <t>Alexander, B; Thiemens, MH; Farquhar, J; Kaufman, AJ; Savarino, J; Delmas, RJ</t>
  </si>
  <si>
    <t>East Antarctic ice core sulfur isotope measurements over a complete glacial-interglacial cycle</t>
  </si>
  <si>
    <t>isotopes; sulfur cycle; atmosphere</t>
  </si>
  <si>
    <t>MASS-INDEPENDENT FRACTIONATION; DOME-C; ATMOSPHERIC SULFUR; SULFATE; VOSTOK; OXIDATION; CLIMATE; ORIGIN; RECORD; TRANSPORT</t>
  </si>
  <si>
    <t>[1] Both sulfur and oxygen isotopes of sulfate preserved in ice cores from Greenland and Antarctica have provided information on the relative sources of sulfate in the ice and their chemical transformation pathways in the atmosphere over various time periods. The mass-independent fractionation in the oxygen isotopes of sulfate from the Vostok ice core from east Antarctica suggests that gas-phase oxidation by the hydroxyl radical (OH) was relatively greater than aqueous-phase oxidation by O-3 and H2O2 during the last glacial period than during the Eemian and preindustrial Holocene. The complete sulfur isotopic composition (delta(33) S, delta(34)S, delta(36)S) from the same Vostok ice core samples along with delta(34)S measurements from the Dome C, east Antarctic ice core from this study lend support to these conclusions and reveal significant isotopic fractionation of delta(34)S during chemical transformation and transport to east Antarctica. These findings reveal that conservation of sulfur isotopic signatures upon transport cannot be assumed for the East Antarctic plateau over the time periods considered.</t>
  </si>
  <si>
    <t>Univ Calif San Diego, Dept Chem &amp; Biochem, La Jolla, CA 92093 USA; Univ Maryland, Earth Syst Sci Interdisciplinary Ctr, College Pk, MD 20742 USA; Univ Maryland, Dept Geol, College Pk, MD 20742 USA; Lab Glaciol &amp; Geophys Environm, F-38402 St Martin Dheres, France</t>
  </si>
  <si>
    <t>University of California System; University of California San Diego; University System of Maryland; University of Maryland College Park; University System of Maryland; University of Maryland College Park</t>
  </si>
  <si>
    <t>Harvard Univ, Dept Earth &amp; Planetary Sci, 20 Oxford St, Cambridge, MA 02138 USA.</t>
  </si>
  <si>
    <t>balexand@fas.harvard.edu</t>
  </si>
  <si>
    <t>Alexander, Becky/N-7048-2013; Savarino, Joel/H-9730-2012</t>
  </si>
  <si>
    <t>Alexander, Becky/0000-0001-9915-4621; Savarino, Joel/0000-0002-6708-9623</t>
  </si>
  <si>
    <t>D24</t>
  </si>
  <si>
    <t>10.1029/2003JD003513</t>
  </si>
  <si>
    <t>760ZP</t>
  </si>
  <si>
    <t>WOS:000187865400004</t>
  </si>
  <si>
    <t>Goff, JA; Smith, WHF</t>
  </si>
  <si>
    <t>A correspondence of altimetric gravity texture to abyssal hill morphology along the flanks of the Southeast Indian Ridge</t>
  </si>
  <si>
    <t>AUSTRALIAN-ANTARCTIC DISCORDANCE; SEA-FLOOR MORPHOLOGY; SATELLITE ALTIMETRY; STOCHASTIC-ANALYSIS; TOPOGRAPHY</t>
  </si>
  <si>
    <t>We examine the relationship between altimetric gravity and abyssal hill textures along the flanks of Southeast Indian Ridge, where previous studies observed a progressive west-to-east increase in abyssal hill roughness and scales. Such a relationship is often considered unlikely because abyssal hills are typically smaller than upward continuation filter scales. However, our results, which exclude ridges, fracture zones and large pseudofaults, show that altimetric gravity roughness and characteristic scales in this region also increase from west to east and, at the largest scales, gravity texture exhibits ridge-parallel lineaments. Synthetic profiles also demonstrate how the texture parameters of a filtered field are related to those of the unfiltered field, particularly where the characteristic scale of the latter is smaller than the filter length.</t>
  </si>
  <si>
    <t>Univ Texas, Inst Geophys, Austin, TX 78712 USA</t>
  </si>
  <si>
    <t>University of Texas System; University of Texas Austin</t>
  </si>
  <si>
    <t>Goff, JA (corresponding author), Univ Texas, Inst Geophys, Austin, TX 78712 USA.</t>
  </si>
  <si>
    <t>Smith, Walter H F/AAM-6681-2020; Goff, John A/B-9972-2008</t>
  </si>
  <si>
    <t>Smith, Walter H F/0000-0002-8814-015X;</t>
  </si>
  <si>
    <t>DEC 23</t>
  </si>
  <si>
    <t>10.1029/2003GL018913</t>
  </si>
  <si>
    <t>760ZG</t>
  </si>
  <si>
    <t>WOS:000187864700005</t>
  </si>
  <si>
    <t>Clilverd, MA; Ulich, T; Jarvis, MJ</t>
  </si>
  <si>
    <t>Residual solar cycle influence on trends in ionospheric F2-layer peak height</t>
  </si>
  <si>
    <t>trends; ionosphere; radio propagation; solar cycle; ionosonde; F2 layer</t>
  </si>
  <si>
    <t>F-REGION; MODEL</t>
  </si>
  <si>
    <t>[1] The longest data sets available for estimating thermospheric temperature trends are those from ground-based ionosondes, which often begin during the International Geophysical Year of 1957, close to a solar activity maximum. It is important to investigate inconsistencies in trend estimates from these data sets so that trends can be clearly determined. Here we use selected ionosonde stations to show that one of the most significant factors affecting the trend estimates is the removal of the solar cycle. The stations show trend behavior that is close to the behavior of a theoretical model of damped harmonic oscillation. The ringing features are consistent with the presence of solar cycle residuals from the analysis with an amplitude of 2.5 km. Some stations do not show trend behavior that is close to either the average behavior of the stations studied here or the theoretical model of oscillation. Four European stations (Poitiers, Lannion, Juliusruh, and Slough), three of which are closely located in western Europe, were analyzed with the expectation that their trend should be similar. Only Poitiers and Juliusruh showed an evolution that was close to the average behavior of other stations, while the other two were significantly different. The primary cause of this appears to be changes in the M(3000)F2 parameter and demonstrates the importance of incorporating consistency checks between neighboring ionosondes into global thermospheric trend estimates.</t>
  </si>
  <si>
    <t>British Antarctic Survey, NERC, Cambridge CB3 0ET, England; Univ Oulu, Sodankyla Geophys Observ, Sodankyla 99600, Finland</t>
  </si>
  <si>
    <t>UK Research &amp; Innovation (UKRI); Natural Environment Research Council (NERC); NERC British Antarctic Survey; University of Oulu</t>
  </si>
  <si>
    <t>Clilverd, MA (corresponding author), British Antarctic Survey, NERC, Madingley Rd, Cambridge CB3 0ET, England.</t>
  </si>
  <si>
    <t>macl@bas.ac.uk; thu@sgo.fi; mjja@bas.ac.uk</t>
  </si>
  <si>
    <t>Ulich, Thomas/G-3727-2018</t>
  </si>
  <si>
    <t>Ulich, Thomas/0000-0001-8217-022X</t>
  </si>
  <si>
    <t>10.1029/2003JA009838</t>
  </si>
  <si>
    <t>761AA</t>
  </si>
  <si>
    <t>WOS:000187866400003</t>
  </si>
  <si>
    <t>Rankin, AM; Wolff, EW</t>
  </si>
  <si>
    <t>A year-long record of size-segregated aerosol composition at Halley, Antarctica</t>
  </si>
  <si>
    <t>aerosol; cascade impactor; Antarctica</t>
  </si>
  <si>
    <t>SEA-SALT AEROSOL; METHANE SULFONIC-ACID; DUMONT DURVILLE; FROST FLOWERS; CHEMISTRY; NITRATE; SNOW; ATMOSPHERE; STATION; PRECIPITATION</t>
  </si>
  <si>
    <t>Size-segregated aerosol samples were collected with a cascade impactor at 2 week intervals for a year at the research station Halley, situated near the coast in the Weddell Sea region of Antarctica. Sea salt is a major component of aerosol throughout the year, and we estimate that at least 60% of the total sea salt arriving at Halley is from brine and frost flowers on the sea ice surface rather than open water. Chloride in sea-salt particles is depleted relative to sodium in summer, consistent with loss of HCl as sea-salt particles react with gaseous acidic species, but is enhanced in large particles in winter because of fractionation occurring during the production of new sea ice. Non-sea-salt sulphate peaks in the summer, with the majority being in small particles indicative of a gas phase origin. The distribution of methane sulphonic acid closely follows that of non-sea-salt sulphate. In the winter, non-sea-salt sulphate is frequently negative, especially on stages collecting large particle sizes, consistent with the source of sea salt during the winter being predominantly the sea ice surface rather than open water. Nitrate peaks in the spring and summer and shows some association with sea-salt particles.</t>
  </si>
  <si>
    <t>Rankin, AM (corresponding author), British Antarctic Survey, High Cross,Madingley Rd, Cambridge CB3 0ET, England.</t>
  </si>
  <si>
    <t>a.rankin@bas.ac.uk</t>
  </si>
  <si>
    <t>Wolff, Eric W/D-7925-2014</t>
  </si>
  <si>
    <t>Wolff, Eric W/0000-0002-5914-8531</t>
  </si>
  <si>
    <t>DEC 20</t>
  </si>
  <si>
    <t>10.1029/2003JD003993</t>
  </si>
  <si>
    <t>760WT</t>
  </si>
  <si>
    <t>WOS:000187858800003</t>
  </si>
  <si>
    <t>Petkaki, P; Watt, CEJ; Horne, RB; Freeman, MP</t>
  </si>
  <si>
    <t>Anomalous resistivity in non-Maxwellian plasmas</t>
  </si>
  <si>
    <t>magnetic reconnection; ion-acoustic instability; anomalous resistivity; Lorentzian distribution; wave-particle interactions</t>
  </si>
  <si>
    <t>COLLISIONLESS MAGNETIC RECONNECTION; ELECTRON VELOCITY DISTRIBUTIONS; ION-ACOUSTIC FLUCTUATIONS; HYBRID-DRIFT INSTABILITY; EARTHS BOW SHOCK; SOLAR-WIND; BEAM INSTABILITIES; WAVES; FIELD; MAGNETOPAUSE</t>
  </si>
  <si>
    <t>Vlasov simulations of the current-driven ion-acoustic instability produced in Maxwellian and non-Maxwellian (Lorentzian, kappa = 2) electron-ion plasma with number density 7 x 10(6) cm(-3), reduced mass ratio m(i)/m(e) = 25, and electron to ion temperature ratio T-e/T-i = 1 are presented and compared. A concise stability analysis of current-driven ion-acoustic waves in Maxwellian and non-Maxwellian plasmas modeled by generalized Lorentzian distribution function with index 2 less than or equal to kappa less than or equal to 7 and electron to ion temperature ratio 1 less than or equal to T-e/T-i less than or equal to 100 is also presented. The ion-acoustic instability is excited in low temperature ratio Lorentzian (kappa = 2) plasma for lower absolute electron drift velocity (up to half the critical electron drift velocity of a Maxwellian). The anomalous resistivity resulting from ion acoustic waves in a Lorentzian plasma is a strong function of the electron drift velocity and in the work presented here varies by a factor of similar to100 for a 1.5 increase in the electron drift velocity. Furthermore, ion-acoustic anomalous resistivity is excited for electron drift velocities that would be stable for Maxwellian plasmas. The magnitude of resistivity which can be generated by unstable ion-acoustic waves may be important for magnetic reconnection at the magnetopause.</t>
  </si>
  <si>
    <t>British Antarctic Survey, Cambridge CB3 0ET, England; Univ Alberta, Dept Phys, Edmonton, AB T6G 2J1, Canada</t>
  </si>
  <si>
    <t>UK Research &amp; Innovation (UKRI); Natural Environment Research Council (NERC); NERC British Antarctic Survey; University of Alberta</t>
  </si>
  <si>
    <t>ppe@bas.ac.uk; cwatt@space.ualberta.ca; rh@bas.ac.uk; mpf@bas.ac.uk</t>
  </si>
  <si>
    <t>Horne, Richard B/U-3764-2019; Watt, Clare/C-5218-2008; Freeman, Mervyn/E-5687-2019</t>
  </si>
  <si>
    <t>Horne, Richard B/0000-0002-0412-6407; Watt, Clare/0000-0003-3193-8993; Freeman, Mervyn/0000-0002-8653-8279</t>
  </si>
  <si>
    <t>DEC 19</t>
  </si>
  <si>
    <t>10.1029/2003JA010092</t>
  </si>
  <si>
    <t>760XC</t>
  </si>
  <si>
    <t>WOS:000187859700002</t>
  </si>
  <si>
    <t>Reinhardt, H; Fida, M; Zellner, R</t>
  </si>
  <si>
    <t>DRIFTS-studies of the interactions of HNO3 with ice and HCl (HNO3)-hydrate surfaces at temperatures around 165 K</t>
  </si>
  <si>
    <t>JOURNAL OF MOLECULAR STRUCTURE</t>
  </si>
  <si>
    <t>diffuse reflectance infrared fourier transform; nitric acid hydrates; absorption bands; ice surfaces</t>
  </si>
  <si>
    <t>NITRIC-ACID TRIHYDRATE; INFRARED-SPECTRA; HETEROGENEOUS REACTIONS; ANTARCTIC STRATOSPHERE; THIN-FILMS; N2O5; OZONE; NO2; WATER; O-3</t>
  </si>
  <si>
    <t>The interactions of gas phase HNO3 with ice and acid (HCl, HNO3)-hydrate surfaces at temperatures between 160 and 175 K have been studied using the diffuse reflectance infrared Fourier transform (DRIFTS) technique. For the reaction of HNO3 on ice surfaces, the formation of an amorphous layer of HNO3/H2O with a relative composition between 1: 1 and 1: 3 at temperatures below T less than or equal to 170 K has been observed. Upon heating to T = 170 K, the amorphous layer is converted into a crystalline layer of nitric acid monohydrate (NAM, HNO3.H2O) and nitric acid trihydrate (HNO3.3H(2)O), respectively. The reaction of HNO3 on an amorphous HCl-hydrate surface with varying water content leads to the formation of an amorphous ternary solid solution. With increasing temperature, the ternary solution is converted into crystalline hydrates of nitric acid, the water content of which depends on the nitric acid gas phase concentration. Due to the overlap of the absorption bands, however, the chemical identity of the HCl content of the solid reaction product could not be identified. For the reaction of HNO3 on a HNO3-hydrate surface, NAM (T = 173 K) as well as an amorphous HNO3/H2O layer with the composition of 1: 1 (T less than or equal to 170 K) have been identified to he the dominant reaction products. The rates of the reactions of HNO3 on ice and acid hydrate surfaces obey first-order kinetics. (C) 2003 Elsevier B.V. All rights reserved.</t>
  </si>
  <si>
    <t>Univ Duisburg Essen, Inst Phys &amp; Theoret Chem, D-45117 Essen, Germany</t>
  </si>
  <si>
    <t>University of Duisburg Essen</t>
  </si>
  <si>
    <t>Zellner, R (corresponding author), Univ Duisburg Essen, Inst Phys &amp; Theoret Chem, Univ Str 5, D-45117 Essen, Germany.</t>
  </si>
  <si>
    <t>0022-2860</t>
  </si>
  <si>
    <t>J MOL STRUCT</t>
  </si>
  <si>
    <t>J. Mol. Struct.</t>
  </si>
  <si>
    <t>DEC 16</t>
  </si>
  <si>
    <t>10.1016/j.molstruc.2003.10.001</t>
  </si>
  <si>
    <t>Chemistry, Physical</t>
  </si>
  <si>
    <t>753PH</t>
  </si>
  <si>
    <t>WOS:000187239400057</t>
  </si>
  <si>
    <t>Lodolo, E; Menichetti, M; Bartole, R; Ben-Avraham, Z; Tassone, A; Lippai, H</t>
  </si>
  <si>
    <t>Magallanes-Fagnano continental transform fault (Tierra del Fuego, southernmost South America)</t>
  </si>
  <si>
    <t>TECTONICS</t>
  </si>
  <si>
    <t>Tierra del Fuego region; Magallanes-Fagnano fault system; geophysical data; remote sensing images; strike-slip tectonics</t>
  </si>
  <si>
    <t>RELATIVE PLATE MOTIONS; ANTARCTIC PENINSULA; ASYMMETRIC BASINS; ELAT AQABA; ANDES; TECTONICS; EVOLUTION; COMPLEX; REGION; CHILE</t>
  </si>
  <si>
    <t>Multichannel seismic reflection profiles, gravity measurements, and bathymetric soundings, in conjunction with field geological reconnaissance and remote sensing images, reveal with unprecedented detail the morphostructure of a major segment of the South America-Scotia plate boundary in the Tierra del Fuego region. This segment, known as the Magallanes-Fagnano fault system, is a continental transform margin arranged in an en echelon geometry, along which prominent asymmetric basins were developed. Data acquired off the Atlantic coast of Isla Grande (the main island of Tierra del Fuego), in its central and eastern part, and in the central and western Magallanes Strait image the surface and subsurface structure of the transform fault and its associated basins. The Magallanes-Fagnano fault system is composed of distinct tectonic lineaments that are segments of the transform system and are represented by mostly near-vertical faults. In the Atlantic sector, the fault system trends broadly N70degreesE and seems to be composed by a single master fault, along which a highly asymmetric basin has formed. At around 63degreesW, the fault terminates by splaying into secondary normal faults that dissipate the horizontal displacement along the system. In the central eastern part of Isla Grande, the fault segments have been principally identified from analyses of remote sensing images on the basis of their morphological expression. These segments are located within river valleys and are generally associated with localized gravity minima. Lago Fagnano, a 105-km-long, E-W trending depression, is a large, mostly asymmetric pull-apart basin developed within the principal displacement zone of the Magallanes-Fagnano fault system. Restraining bends and overlapping step-over geometry characterize the central part of the Magallanes Strait. Along the western part of the fault system, in the vicinity of the Pacific entrance of the Magallanes Strait, asymmetric sedimentary basins have also developed. The sedimentary architecture of the basins formed within the principal displacement zone of the fault, in which the thick end of the depositional wedge abuts the transform segment, suggest simultaneous strike-slip motion and transform-normal extension, a common feature found in other continental transtensional environments. Strike-slip faulting in the Tierra del Fuego region is also documented along other prominent lineaments which parallel the Magallanes-Fagnano fault system. Along at least two of these lineaments, characterized by a remarkable morphological expression, widespread Quaternary activity occurs. The present-day motion between the South America and Scotia plates is slow (&lt; 5 mm/yr). Also the modern seismicity monitored in the Tierra del Fuego region is low ( individual events &lt;3.5 in magnitude). The low seismicity may be explained by the slow relative motion between plates and may be further affected by slip partitioning along the different segments which make up the Magallanes-Fagnano fault array, and along the subsidiary wrench lineaments that traverse the region.</t>
  </si>
  <si>
    <t>Ist Naz Oceanog &amp; Geofis Sperimentale, I-34010 Trieste, Italy; Univ Urbino, Ist Geodinam &amp; Sedimentol, I-61029 Urbino, Italy; Univ Trieste, Dipartimento Sci Geol Ambientali &amp; Marine, I-34127 Trieste, Italy; Tel Aviv Univ, Dept Geophys &amp; Planetary Phys, IL-69978 Tel Aviv, Israel; Univ Buenos Aires, Inst Geofis Daniel Valencio, Dept Geol, RA-1428 Buenos Aires, DF, Argentina</t>
  </si>
  <si>
    <t>Istituto Nazionale di Oceanografia e di Geofisica Sperimentale; University of Urbino; University of Trieste; Tel Aviv University; University of Buenos Aires</t>
  </si>
  <si>
    <t>Ist Naz Oceanog &amp; Geofis Sperimentale, Borgo Grotto Gigante 42-C, I-34010 Trieste, Italy.</t>
  </si>
  <si>
    <t>elodolo@ogs.trieste.it; menichetti@uniurb.it; bartoler@univ.trieste.it; zvi@terra.tau.ac.il; atassone@gl.fcen.uba.ar; lippai@gl.fcen.uba.ar</t>
  </si>
  <si>
    <t>MENICHETTI, Marco/0000-0003-2901-0715; LODOLO, Emanuele/0000-0002-4706-2095</t>
  </si>
  <si>
    <t>0278-7407</t>
  </si>
  <si>
    <t>1944-9194</t>
  </si>
  <si>
    <t>Tectonics</t>
  </si>
  <si>
    <t>10.1029/2003TC001500</t>
  </si>
  <si>
    <t>760XJ</t>
  </si>
  <si>
    <t>WOS:000187860300002</t>
  </si>
  <si>
    <t>Barber, DG; Iacozza, J; Walker, AE</t>
  </si>
  <si>
    <t>Estimation of snow water equivalent using microwave radiometry over Arctic first-year sea ice</t>
  </si>
  <si>
    <t>Arctic; snow water equivalent; passive microwave radiometry; sea ice</t>
  </si>
  <si>
    <t>BRIGHTNESS TEMPERATURE; COVER; CANADA; RETRIEVAL</t>
  </si>
  <si>
    <t>The magnitude and spatial distribution of snow on sea ice are both integral components of the ocean-sea-ice-atmosphere system. Although there exists a number of algorithms to estimate the snow water equivalent (SWE) on terrestrial surfaces, to date there is no precise method to estimate SWE on sea ice. Physical snow properties and in situ microwave radiometry at 19, 37 and 85 GHz, V and H polarization were collected for a 10-day period over 20 first-year sea ice sites. We present and compare the in situ physical, electrical and microwave emission properties of snow over smooth Arctic first-year sea ice for 19 of the 20 sites sampled. Physical processes creating the observed vertical patterns in the physical and electrical properties are discussed. An algorithm is then developed from the relationship between the SWE and the brightness temperature measured at 37 GHz (55degrees) H polarization and the air temperature. The multiple regression between these variables is able to account for over 90% of the variability in the measured SWE. This algorithm is validated with a small in situ data set collected during the 1999 field experiment. We then compare our data against the NASA snow thickness algorithm, designed as part of the NASA Earth Enterprise Program. The results indicated a lack of agreement between the NASA algorithm and the algorithm developed here. This lack of agreement is attributed to differences in scale between the Special Sensor Microwave/Imager and surface radiometers and to differences in the Antarctic versus Arctic snow physical and electrical properties. Copyright (C) 2003 John Wiley Sons, Ltd.</t>
  </si>
  <si>
    <t>Univ Manitoba, Fac Environm, Ctr Earth Observat Sci, Winnipeg, MB R3T 2N2, Canada; Meteorol Serv Canada, Climate Res Branch, Downsview, ON, Canada</t>
  </si>
  <si>
    <t>University of Manitoba; Environment &amp; Climate Change Canada; Meteorological Service of Canada</t>
  </si>
  <si>
    <t>Iacozza, J (corresponding author), Univ Manitoba, Fac Environm, Ctr Earth Observat Sci, Winnipeg, MB R3T 2N2, Canada.</t>
  </si>
  <si>
    <t>Barber, David/0000-0001-9466-3291</t>
  </si>
  <si>
    <t>DEC 15</t>
  </si>
  <si>
    <t>10.1002/hyp.1305</t>
  </si>
  <si>
    <t>752XG</t>
  </si>
  <si>
    <t>WOS:000187201000007</t>
  </si>
  <si>
    <t>Le Quéré, C; Aumont, O; Monfray, P; Orr, J</t>
  </si>
  <si>
    <t>Propagation of climatic events on ocean stratification, marine biology, and CO2:: Case studies over the 1979-1999 period -: art. no. 3375</t>
  </si>
  <si>
    <t>ocean biogeochemistry; ocean stratification; carbon; climate change; climate variability</t>
  </si>
  <si>
    <t>NORTH-ATLANTIC OSCILLATION; ANTARCTIC CIRCUMPOLAR WAVE; SEA-SURFACE TEMPERATURE; TIME-SERIES STATION; INTERANNUAL VARIABILITY; GEOPOTENTIAL HEIGHT; SOUTHERN-OCEAN; CARBON-CYCLE; EL-NINO; PACIFIC</t>
  </si>
  <si>
    <t>We investigate the propagation of climatic events on ocean stratification, marine biology, and CO2 using a large-scale ocean general circulation model coupled to a simple biogeochemical model of plankton dynamics and the carbon cycle. The model was forced with satellite and reanalysis fields during 1979-1999. We focus on three climatic events: (1) the North Atlantic Oscillation, (2) El Nino events, and (3) the Antarctic Circumpolar Wave. Such climatic events caused variability in ocean stratification, approximated by the mixing depth (MD), from +/-20 m in the subtropics to +/-100 s of meters at high latitudes. In the subtropics, deepening of the MD resupplied nutrient-impoverished surface waters and increased marine biomass by 20-100%. In contrast, at high latitudes, shoaling of the MD lengthened the growing season (i.e., the length of time that light is available for plankton growth) and increased marine biomass by 10-20%. Variability in marine biology reached global peak-to-peak values of +/-0.01 mg m(-3) for surface chl a, +/-3.4 Pg C yr(-1) for primary production, and +/-0.3 Pg C yr(-1) for export production and its contribution to CO2 fluxes. Our model results suggest that changes in ocean stratification driven by short-term climatic events could be used to understand and quantify the feedbacks from marine biology to CO2 and climate.</t>
  </si>
  <si>
    <t>Max Planck Inst Biogeochem, D-07701 Jena, Germany; CEA Saclay, Unite Mixte CEA CNRS, Lab Sci Climat &amp; Environm, F-91191 Gif Sur Yvette, France</t>
  </si>
  <si>
    <t>Max Planck Society; Universite Paris Saclay; CEA; Centre National de la Recherche Scientifique (CNRS)</t>
  </si>
  <si>
    <t>lequere@bgc-jena.mpg.de</t>
  </si>
  <si>
    <t>Aumont, Olivier/G-5207-2016; Le Quéré, Corinne/C-2631-2017; MONFRAY, Patrick/AAB-8665-2020; Orr, James C/C-5221-2009</t>
  </si>
  <si>
    <t>Aumont, Olivier/0000-0003-3954-506X; Le Quéré, Corinne/0000-0003-2319-0452; MONFRAY, Patrick/0000-0002-3028-5591; Orr, James/0000-0002-8707-7080</t>
  </si>
  <si>
    <t>DEC 13</t>
  </si>
  <si>
    <t>C12</t>
  </si>
  <si>
    <t>10.1029/2001JC000920</t>
  </si>
  <si>
    <t>756QP</t>
  </si>
  <si>
    <t>WOS:000187492700001</t>
  </si>
  <si>
    <t>Zhou, XB; Li, SS; Stamnes, K</t>
  </si>
  <si>
    <t>Effects of vertical inhomogeneity on snow spectral albedo and its implication for optical remote sensing of snow</t>
  </si>
  <si>
    <t>spectral albedo; snow and ice; optical remote sensing; inhomogeneity; radiative transfer</t>
  </si>
  <si>
    <t>ANTARCTIC PACK-ICE; GRAIN-SIZE; SEA-ICE; BIDIRECTIONAL REFLECTANCE; IMAGING SPECTROMETER; ROSS SEA; COVER; SURFACE; MODEL; FLOES</t>
  </si>
  <si>
    <t>[1] The spectral albedo of dry, vertically heterogeneous snow is simulated using a multilayer discrete ordinate method radiative transfer code, with single snow grain scattering parameters calculated either from Mie theory for small grains or from a geometric optics code for large grains. In the near-infrared wavelengths the snowpack is effectively semi-infinite at a depth of around 5 cm; that is, the reflectance is the same as for a deep snowpack. In the visible wavelengths, however, the snow critical depth is more than 50 cm for coarse-grained snow, but the top 5-10 cm layer is the most important one. Two heterogeneous snowpacks with the same average grain size in the topmost layer but with different vertical distributions of grain sizes can have quite different spectral albedos because of greater penetration by visible than by near-infrared radiation. The spectral albedo computed from the multilayer model agrees better with measured albedo when the vertical variability of grain size and the measured composite grain size rather than the measured single grain size are considered.</t>
  </si>
  <si>
    <t>New Mexico Inst Min &amp; Technol, Dept Earth &amp; Environm Sci, Socorro, NM 87801 USA; Univ Alaska Fairbanks, Inst Geophys, Fairbanks, AK 99775 USA; Stevens Inst Technol, Dept Phys &amp; Engn Phys, Hoboken, NJ 07030 USA</t>
  </si>
  <si>
    <t>New Mexico Institute of Mining Technology; University of Alaska System; University of Alaska Fairbanks; Stevens Institute of Technology</t>
  </si>
  <si>
    <t>New Mexico Inst Min &amp; Technol, Dept Earth &amp; Environm Sci, 801 Leroy Pl, Socorro, NM 87801 USA.</t>
  </si>
  <si>
    <t>xzhou@nmt.edu; sli@asf.alaska.edu; kstamnes@stevens-tech.edu</t>
  </si>
  <si>
    <t>DEC 12</t>
  </si>
  <si>
    <t>D23</t>
  </si>
  <si>
    <t>10.1029/2003JD003859</t>
  </si>
  <si>
    <t>756QG</t>
  </si>
  <si>
    <t>WOS:000187492000004</t>
  </si>
  <si>
    <t>Ivins, ER; James, TS; Klemann, V</t>
  </si>
  <si>
    <t>Glacial isostatic stress shadowing by the Antarctic ice sheet</t>
  </si>
  <si>
    <t>JOURNAL OF GEOPHYSICAL RESEARCH-SOLID EARTH</t>
  </si>
  <si>
    <t>Antarctic Plate Earthquake; Wilkes Basin; neotectonics; Antarctic ice sheet; Coulomb stress; Transantarctic Mountain Ranges</t>
  </si>
  <si>
    <t>SOUTHERN VICTORIA-LAND; SEA-LEVEL CHANGE; UPPER-MANTLE; TRANSANTARCTIC MOUNTAINS; PLATE EARTHQUAKE; LATE-PLEISTOCENE; EAST ANTARCTICA; THERMAL STRUCTURE; NORTHERN NORWAY; MOMENT TENSOR</t>
  </si>
  <si>
    <t>[1] Numerous examples of fault slip that offset late Quaternary glacial deposits and bedrock polish support the idea that the glacial loading cycle causes earthquakes in the upper crust. A semianalytical scheme is presented for quantifying glacial and postglacial lithospheric fault reactivation using contemporary rock fracture prediction methods. It extends previous studies by considering differential Mogi-von Mises stresses, in addition to those resulting from a Coulomb analysis. The approach utilizes gravitational viscoelastodynamic theory and explores the relationships between ice mass history and regional seismicity and faulting in a segment of East Antarctica containing the great Antarctic Plate (Balleny Island) earthquake of 25 March 1998 (M-w 8.1). Predictions of the failure stress fields within the seismogenic crust are generated for differing assumptions about background stress orientation, mantle viscosity, lithospheric thickness, and possible late Holocene deglaciation for the D91 Antarctic ice sheet history. Similar stress fracture fields are predicted by Mogi-von Mises and Coulomb theory, thus validating previous rebound Coulomb analysis. A thick lithosphere, of the order of 150-240 km, augments stress shadowing by a late melting (middle-late Holocene) coastal East Antarctic ice complex and could cause present-day earthquakes many hundreds of kilometers seaward of the former Last Glacial Maximum grounding line.</t>
  </si>
  <si>
    <t>CALTECH, Jet Prop Lab, Pasadena, CA 91109 USA; Geol Survey Canada, Sidney, BC V8L 4B2, Canada; Geoforschungszentrum Potsdam, D-14473 Potsdam, Germany</t>
  </si>
  <si>
    <t>California Institute of Technology; National Aeronautics &amp; Space Administration (NASA); NASA Jet Propulsion Laboratory (JPL); Natural Resources Canada; Lands &amp; Minerals Sector - Natural Resources Canada; Geological Survey of Canada; Helmholtz Association; Helmholtz-Center Potsdam GFZ German Research Center for Geosciences</t>
  </si>
  <si>
    <t>Ivins, ER (corresponding author), CALTECH, Jet Prop Lab, 4800 Oak Grove Dr,MS 300-233, Pasadena, CA 91109 USA.</t>
  </si>
  <si>
    <t>eri@fryxell.jpl.nasa.gov</t>
  </si>
  <si>
    <t>James, Thomas/D-9301-2013; Ivins, Erik R/C-2416-2011; Klemann, Volker/H-3660-2013</t>
  </si>
  <si>
    <t>James, Thomas/0000-0001-7321-047X; Klemann, Volker/0000-0002-8342-8947</t>
  </si>
  <si>
    <t>2169-9313</t>
  </si>
  <si>
    <t>2169-9356</t>
  </si>
  <si>
    <t>J GEOPHYS RES-SOL EA</t>
  </si>
  <si>
    <t>J. Geophys. Res.-Solid Earth</t>
  </si>
  <si>
    <t>B12</t>
  </si>
  <si>
    <t>10.1029/2002JB002182</t>
  </si>
  <si>
    <t>756RD</t>
  </si>
  <si>
    <t>WOS:000187494000002</t>
  </si>
  <si>
    <t>Ritzwoller, MH; Shapiro, NM; Leahy, GM</t>
  </si>
  <si>
    <t>A resolved mantle anomaly as the cause of the Australian-Antarctic Discordance</t>
  </si>
  <si>
    <t>Australian-antarctic discordance; Indian Ocean; mantle topography</t>
  </si>
  <si>
    <t>BENEATH MIDOCEAN RIDGES; SOUTHEAST INDIAN RIDGE; SEISMIC VELOCITIES; WAVE TOMOGRAPHY; DEPTH ANOMALIES; TRAVEL-TIMES; OCEAN RIDGES; SEA-FLOOR; CONSTRAINTS; GEOCHEMISTRY</t>
  </si>
  <si>
    <t>[1] We present evidence for the existence of an Australian-Antarctic Mantle Anomaly (AAMA), which trends northwest-southeast (NW-SE) through the Australian-Antarctic Discordance (AAD) on the Southeast Indian Ridge (SEIR), is confined to the upper 120 km of the mantle beneath the AAD, and dips shallowly to the west so that it extends to a depth of about 150 km west of the AAD. Average temperatures within the AAMA are depressed about 100degreesC relative to surrounding lithosphere and suggest very rapid cooling of newly formed lithosphere at the AAD to an effective thermal age between 20 and 30 Ma. A convective down welling beneath the AAD is not consistent with the confinement of the AAMA in the uppermost mantle. In substantial agreement with the model of Gurnis et al. [ 1998], we argue that the AAMA is the suspended remnant of a slab that subducted at the Gondwanaland-Pacific convergent margin more than 100 Myr ago, foundered in the deeper mantle, and then ascended into the shallow mantle within the past 30 Myr, cutting any ties to deeper roots. The stability of the AAMA and its poor correlation with residual topography and gravity imply that it is approximately neutrally buoyant. The thermally induced density anomaly can be balanced by bulk iron depletion of less than 0.8%, consistent with the warmer conditions of formation for the Pacific than Indian lithosphere. We hypothesize that the low temperatures in the AAMA inhibit crustal formation and the AAD depth anomaly is formed at the intersection of the SEIR and the AAMA. The northward migration of the SEIR overriding the cold NW-SE trending AAMA therefore presents a simple kinematic explanation for both the V-shaped residual depth anomaly in the southeast Indian Ocean and the western migration of the AAD along the SEIR. Neither explanation requires the Pacific asthenospheric mantle to push westward and displace Indian asthenosphere. The AAMA may also act as a barrier to large-scale flows in the shallow asthenosphere and may therefore define a boundary for mantle convection and between the Indian and Pacific isotopic provinces. The westward dip of the AAMA would also favor along-axis flow from the Indian Ocean asthenosphere to the AAD that may contribute to the penetration of Indian Ocean mid-ocean ridge basalts into the AAD.</t>
  </si>
  <si>
    <t>Univ Colorado, Dept Phys, Ctr Imaging Earths Interior, Boulder, CO 80309 USA</t>
  </si>
  <si>
    <t>Ritzwoller, MH (corresponding author), Univ Colorado, Dept Phys, Ctr Imaging Earths Interior, Campus Box 390, Boulder, CO 80309 USA.</t>
  </si>
  <si>
    <t>ritzwoller@ciei.colorado.edu</t>
  </si>
  <si>
    <t>Leahy, Garrett M/B-1107-2008; Shapiro, Nikolai M/G-1049-2010</t>
  </si>
  <si>
    <t>Shapiro, Nikolai/0000-0002-0144-723X</t>
  </si>
  <si>
    <t>10.1029/2003JB002522</t>
  </si>
  <si>
    <t>WOS:000187494000003</t>
  </si>
  <si>
    <t>Shcherbina, AY; Talley, LD; Rudnick, DL</t>
  </si>
  <si>
    <t>Direct observations of North Pacific ventilation: Brine rejection in the Okhotsk Sea</t>
  </si>
  <si>
    <t>WATER PRODUCTION; HEAT-BUDGET; DEEP-WATER; OCEAN; SHELF; ICE; INTERMEDIATE; CIRCULATION; CONVECTION; POLYNYA</t>
  </si>
  <si>
    <t>Brine rejection that accompanies ice formation in coastal polynyas is responsible for ventilating several globally important water masses in the Arctic and Antarctic. However, most previous studies of this process have been indirect, based on heat budget analyses or on warm-season water column inventories. Here, we present direct measurements of brine rejection and formation of North Pacific Intermediate Water in the Okhotsk Sea from moored winter observations. A steady, nearly linear salinity increase unambiguously caused by local ice formation was observed for more than a month.</t>
  </si>
  <si>
    <t>Univ Calif San Diego, Scripps Inst Oceanog, San Diego, CA 92103 USA</t>
  </si>
  <si>
    <t>Talley, LD (corresponding author), Univ Calif San Diego, Scripps Inst Oceanog, San Diego, CA 92103 USA.</t>
  </si>
  <si>
    <t>Rudnick, Daniel L/J-8948-2016</t>
  </si>
  <si>
    <t>Rudnick, Daniel L/0000-0002-2624-7074; Talley, Lynne/0000-0003-1574-729X; Shcherbina, Andrey/0000-0002-4246-487X</t>
  </si>
  <si>
    <t>10.1126/science.1088692</t>
  </si>
  <si>
    <t>752NL</t>
  </si>
  <si>
    <t>WOS:000187174000057</t>
  </si>
  <si>
    <t>Andres, MS; Bernasconi, SM; McKenzie, JA; Röhl, U</t>
  </si>
  <si>
    <t>Southern Ocean deglacial record supports global Younger Dryas</t>
  </si>
  <si>
    <t>Younger Dryas; Southern Hemisphere; deglaciation; rapid climate change; interhemispheric climate linkage; Great Australian Bight</t>
  </si>
  <si>
    <t>LAST GLACIAL PERIOD; SEA-LEVEL RECORD; CLIMATE-CHANGE; NEW-ZEALAND; WESTERN-AUSTRALIA; LEEUWIN CURRENT; ICE CORE; ANTARCTICA; EVENT; CIRCULATION</t>
  </si>
  <si>
    <t>In Northern Hemisphere deglaciation records, the transition from the last glacial to the Holocene indicates a rapid return to near-glacial conditions during the Younger Dryas, whereas their Southern Hemisphere ice core counterparts record two separate cooling events: the Antarctic Cold Reversal and the Oceanic Cold Reversal. Spatial distribution and relative timing of these events in both hemispheres are central for our understanding of causes and mechanisms of abrupt climate change. To date, no marine record from the southern mid-latitudes conclusively demonstrates that the Younger Dryas was a significant event in the Southern Ocean. Here, we present high-resolution oxygen isotope and iron content records of a radiocarbon-dated sedimentary sequence from the Great Australian Bight, which constrains oceanic and atmospheric changes during the last deglaciation. Oxygen isotopes from planktonic foraminifera indicate two rapid cold reversals (between 13.1 and 11.1 kyr BP) separated by a brief warming. The sedimentary iron content, interpreted as a proxy for wind strength, indicates a simultaneous change in atmospheric circulation pattern. Both records demonstrate the existence of cooling events in the Southern Hemisphere, which are synchronous with the Northern Hemisphere Younger Dryas cold reversal (between 12.9 and 11.5 kyr BP). Such evidence for the spatial distribution and timing of abrupt climatic fluctuations is essential data for groundtruthing results derived from global climate models. (C) 2003 Elsevier B.V. All rights reserved.</t>
  </si>
  <si>
    <t>ETH, Dept Earth Sci, Inst Geol, CH-8092 Zurich, Switzerland; Univ Bremen, DFG Res Ctr Ocean Margins, Geosci Dept, D-28334 Bremen, Germany</t>
  </si>
  <si>
    <t>Swiss Federal Institutes of Technology Domain; ETH Zurich; University of Bremen; German Research Foundation (DFG)</t>
  </si>
  <si>
    <t>Andres, MS (corresponding author), Univ Miami, Rosenstiel Sch Marine &amp; Atmospher Sci, 4600 Rickenbacker Causeway, Miami, FL 33149 USA.</t>
  </si>
  <si>
    <t>Bernasconi, Stefano M/E-5394-2010; Röhl, Ursula/G-5986-2011</t>
  </si>
  <si>
    <t>Bernasconi, Stefano M/0000-0001-7672-8856; Röhl, Ursula/0000-0001-9469-7053</t>
  </si>
  <si>
    <t>DEC 10</t>
  </si>
  <si>
    <t>10.1016/S0012-821X(03)00556-9</t>
  </si>
  <si>
    <t>756JK</t>
  </si>
  <si>
    <t>WOS:000187461800006</t>
  </si>
  <si>
    <t>Sieminski, A; Debayle, E; Lévêque, JJ</t>
  </si>
  <si>
    <t>Seismic evidence for deep low-velocity anomalies in the transition zone beneath West Antarctica</t>
  </si>
  <si>
    <t>upper mantle; Antarctica; plume; surface waves; tomography</t>
  </si>
  <si>
    <t>WAVE-FORM INVERSION; UPPER-MANTLE STRUCTURE; RIFT SYSTEM; PLATE-TECTONICS; SURFACE-WAVES; INDIAN-OCEAN; ANISOTROPY; RAYLEIGH; HOTSPOTS; PLUMES</t>
  </si>
  <si>
    <t>We present a three-dimensional (3D) SV-wave velocity model of the upper mantle beneath the Antarctic plate constrained by fundamental and higher mode Rayleigh waves recorded at regional distances. The good agreement between our results and previous surface wave studies in the uppermost 200 km of the mantle confirms that despite strong differences in data processing, modern surface wave tomographic techniques allow to produce consistent velocity models, even at regional scale. At greater depths the higher mode information present in our data set allows us to improve the resolution compared to previous regional surface wave studies in Antarctica that were all restricted to the analysis of the fundamental mode. This paper is therefore mostly devoted to the discussion of the deeper part of the model. Our seismic model displays broad domains of anomalously low seismic velocities in the asthenosphere. Moreover, we show that some of these broad, low-velocity regions can be more deeply rooted. The most remarkable new features of our model are vertical low-velocity structures extending from the asthenosphere down to the transition zone beneath the volcanic region of Marie Byrd Land, West Antarctica and a portion of the Pacific-Antarctic Ridge close to the Balleny Islands hotspot. A deep low-velocity anomaly may also exist beneath the Ross Sea hotspot. These vertical structures cannot be explained by vertical smearing of shallow seismic anomalies and synthetic tests show that they are compatible with a structure narrower than 200 km which would have been horizontally smoothed by the tomographic inversion. These deep low-velocity anomalies may favor the existence of several distinct mantle plumes, instead of a large single one, as the origin of volcanism in and around West Antarctica. These hypothetical deep plumes could feed large regions of low seismic velocities in the asthenosphere. (C) 2003 Elsevier B.V. All rights reserved.</t>
  </si>
  <si>
    <t>CNRS, IPGS Ecole &amp; Observat Sci Terre, F-67084 Strasbourg, France; Univ Strasbourg 1, F-67084 Strasbourg, France</t>
  </si>
  <si>
    <t>Centre National de la Recherche Scientifique (CNRS); Universites de Strasbourg Etablissements Associes; Universite de Strasbourg; Universites de Strasbourg Etablissements Associes; Universite de Strasbourg</t>
  </si>
  <si>
    <t>Sieminski, A (corresponding author), CNRS, IPGS Ecole &amp; Observat Sci Terre, F-67084 Strasbourg, France.</t>
  </si>
  <si>
    <t>Debayle, Eric/D-3738-2012</t>
  </si>
  <si>
    <t>Debayle, Eric/0000-0002-9438-7060</t>
  </si>
  <si>
    <t>10.1016/S0012-821X(03)00518-1</t>
  </si>
  <si>
    <t>WOS:000187461800016</t>
  </si>
  <si>
    <t>Studinger, M; Karner, GD; Bell, RE; Levin, V; Raymond, CA; Tikku, AA</t>
  </si>
  <si>
    <t>Geophysical models for the tectonic framework of the Lake Vostok region, East Antarctica</t>
  </si>
  <si>
    <t>Lake Vostok; East Antarctica; airborne geophysics; gravity; magnetics; tectonics</t>
  </si>
  <si>
    <t>UPPER-MANTLE STRUCTURE; GRAVITY-ANOMALIES; SPECTRAL CORRELATION; ICE-SHEET; CRUSTAL; LITHOSPHERE; ANISOTROPY; FLEXURE; EVENTS; PLATE</t>
  </si>
  <si>
    <t>Aerogeophysical and seismological data from a geophysical survey in the interior of East Antarctica were used to develop a conceptual tectonic model for the Lake Vostok region. The model is constrained using three independent data sets: magnetic, seismic, and gravimetric. A distinct change in the aeromagnetic anomaly character across Lake Vostok defines a crustal boundary. Depth to magnetic basement estimates image a 400-km-wide and more than 10-km-deep sedimentary basin west of the lake. Analysis of teleseismic earthquakes suggests a relatively thin crust beneath Lake Vostok consistent with predictions from kinematic and flexural gravity modelling. Magnetic, gravity, and subglacial topography data reveal a tectonic boundary within East Antarctica. Based on our kinematic and flexural gravity modelling, this tectonic boundary appears to be the result of thrust sheet emplacement onto an earlier passive continental margin. No data presently exist to date directly either the timing of passive margin formation or the subsequent shortening phase. The preserved thrust sheet thickness is related to the thickness of the passive margin crust. Because a significant amount of time is required to erode the thrust sheet topography, we suggest that these tectonic events are Proterozoic in age. Minor normal reactivation of the thrust sheet offers a simple mechanism to explain the formation of the Lake Vostok Basin. A low level of seismicity exists in the vicinity of this tectonic boundary. The existence of a crustal boundary in the Antarctic interior provides new constraints on the Proterozoic architecture of the East Antarctic craton. Published by Elsevier B.V.</t>
  </si>
  <si>
    <t>Columbia Univ, Lamont Doherty Earth Observ, Palisades, NY 10964 USA; Rutgers State Univ, Piscataway, NJ 08854 USA; CALTECH, Jet Prop Lab, Pasadena, CA 91109 USA</t>
  </si>
  <si>
    <t>Columbia University; Rutgers University System; Rutgers University New Brunswick; National Aeronautics &amp; Space Administration (NASA); NASA Jet Propulsion Laboratory (JPL); California Institute of Technology</t>
  </si>
  <si>
    <t>Studinger, M (corresponding author), Columbia Univ, Lamont Doherty Earth Observ, Palisades, NY 10964 USA.</t>
  </si>
  <si>
    <t>Studinger, Michael/0000-0003-1265-4741</t>
  </si>
  <si>
    <t>10.1016/S0012-821X(03)00548-X</t>
  </si>
  <si>
    <t>WOS:000187461800017</t>
  </si>
  <si>
    <t>Matear, RJ; McNeil, BI</t>
  </si>
  <si>
    <t>Decadal accumulation of anthropogenic CO2 in the Southern Ocean:: A comparison of CFC-age derived estimates to multiple-linear regression estimates -: art. no. 1113</t>
  </si>
  <si>
    <t>accumulation; anthropogenic; CO(2)</t>
  </si>
  <si>
    <t>WATER MASS AGES; ATLANTIC-OCEAN; CARBON-DIOXIDE; VARIABILITY; ANTARCTICA; ALKALINITY; AUSTRALIA; TASMANIA; SECTION</t>
  </si>
  <si>
    <t>[1] The decadal accumulation of anthropogenic CO(2) from 1968 to 1996 was estimated from CFC-ages along three WOCE sections (SR3, P14, P15) in the Southern Ocean. We explore the validity of the method in the Southern Ocean by directly comparing the CFC-age derived estimates to values obtained using a multiparametric linear regression method over the same period. The agreement in anthropogenic CO2 accumulation between the two independent methods was very good (less than +/-8%) for waters younger than 30 years. We found waters older than 30 years to significantly overestimate the decadal accumulation when using the CFC-age method. This is mainly due to significant mixing biases when using CFCs to infer ages for these older waters [Sonnerup, 2001]. The CFC-age method assumes a steady state circulation. CFC-11 variations on interannual timescales have been found to be relatively large [Doney et al., 1998]. To test the biases from interannual variations, we compare CFC data on the SR3 section for two different years (1991 and 1994). Although we found large differences in the estimated CFC-11 ages (-8 years) from the two cruises, these differences had little impact on the decadal accumulation of anthropogenic CO(2) estimated by the CFC-age method. We found the CFC-age method to be insensitive to interannual variations or non-ideal age'' biases [ Sonnerup, 2001; Haine and Hall, 2002] because of the similar atmospheric histories of CFC-11 and CO(2) from about 1965 to 1993. Our study validates the use of transient tracer ages to infer decadal anthropogenic CO(2) accumulations in the Southern Ocean during the 1970s, 1980s, and 1990s. The application of other transient tracers to determine ages will be needed to improve the estimates of anthropogenic CO(2) accumulation and uptake by the Southern Ocean for both now and into the future.</t>
  </si>
  <si>
    <t>CSIRO Marine Res, Hobart, Tas 7001, Australia; Antarctic CRC, Hobart, Tas, Australia; Princeton Univ, Program Atmospher &amp; Ocean Sci, Princeton, NJ 08544 USA</t>
  </si>
  <si>
    <t>Commonwealth Scientific &amp; Industrial Research Organisation (CSIRO); Princeton University; National Oceanic Atmospheric Admin (NOAA) - USA</t>
  </si>
  <si>
    <t>Matear, RJ (corresponding author), CSIRO Marine Res, POB 1538, Hobart, Tas 7001, Australia.</t>
  </si>
  <si>
    <t>richard.matear@csiro.au; bmcneil@Princeton.edu</t>
  </si>
  <si>
    <t>; matear, richard/C-5133-2011</t>
  </si>
  <si>
    <t>McNeil, Ben/0000-0001-5765-7087; matear, richard/0000-0002-3225-0800</t>
  </si>
  <si>
    <t>10.1029/2003GB002089</t>
  </si>
  <si>
    <t>756PL</t>
  </si>
  <si>
    <t>WOS:000187490200003</t>
  </si>
  <si>
    <t>Lukianova, R</t>
  </si>
  <si>
    <t>Magnetospheric response to sudden changes in solar wind dynamic pressure inferred from polar cap index</t>
  </si>
  <si>
    <t>solar wind; magnetosphere; convection; PC index</t>
  </si>
  <si>
    <t>MAGNETIC ACTIVITY; PC INDEX; COMMENCEMENT; PROPAGATION; VORTICES; EVENT; AE</t>
  </si>
  <si>
    <t>We have used the polar cap (PC) index, which is a measure of magnetic disturbance caused by the transpolar portion of ionospheric currents associated with global convection, to investigate the effect of sudden changes in the solar wind dynamic pressure (PSW). We find that during a period of steady interplanetary magnetic field (IMF), the PC index shows an enhancement that is a direct response to an enhancement in PSW. Examination of the response associated with the passage of interplanetary clouds accompanied by magnetic storms shows that a PSW pulse can cause changes in the PC index that are as large as the effects due to the changes in the interplanetary electric field. Responses of the PC index, AE index, and low-latitude horizontal component of magnetic field are observed to be similar, though during a magnetic storm, the influence of a significant ring current can distort the dayside low-latitude response. Sudden increases in PSW lead to an initial negative spike in the PC index that is followed by the main increase. Sudden decreases in PSW are found to have the opposite effect: an initial positive spike that is followed by a decrease in the PC index. The spike of similar to3 min duration is found to initiate simultaneously with the sudden impulse or commencement and an AE spike on the ground and the same time that geosynchronous particle fluxes start to increase sharply in response to magnetic field compression. It likely reflects a temporal response of convection to an abrupt change in PSW that is initially of the opposite sign to the more prolonged response, and it may be associated with short time scale current vortices that have been observed in the ionosphere near noon. The above results show that both PSW and IMF play a significant role in controlling the strength of magnetospheric convection.</t>
  </si>
  <si>
    <t>St Petersburg State Univ, St Petersburg, Russia</t>
  </si>
  <si>
    <t>Saint Petersburg State University</t>
  </si>
  <si>
    <t>State Res Ctr Russian Federat, Arctic &amp; Antarctic Res Inst, 38 Bering St, St Petersburg, Russia.</t>
  </si>
  <si>
    <t>renata@aari.nw.ru</t>
  </si>
  <si>
    <t>Lukianova, Renata/K-3293-2012</t>
  </si>
  <si>
    <t>Lukianova, Renata/0000-0003-2343-9174</t>
  </si>
  <si>
    <t>DEC 9</t>
  </si>
  <si>
    <t>10.1029/2002JA009790</t>
  </si>
  <si>
    <t>756RF</t>
  </si>
  <si>
    <t>WOS:000187494200003</t>
  </si>
  <si>
    <t>Farrell, RL; Rhodes, PL; Aislable, J</t>
  </si>
  <si>
    <t>Toluene-degrading antarctic pseudomonas strains from fuel-contaminated soil</t>
  </si>
  <si>
    <t>BIOCHEMICAL AND BIOPHYSICAL RESEARCH COMMUNICATIONS</t>
  </si>
  <si>
    <t>Pseudomonas; Antarctica; bioprospecting; biodegradation; bioremediation fuel; toluene; catechol; psychrotolerant; plasmid</t>
  </si>
  <si>
    <t>VESTFOLD HILLS; ARVILLA MT-2; TOL PLASMID; HYDROCARBONS; BIODEGRADATION; DEGRADATION; BACTERIA; MICROORGANISMS; ENVIRONMENT; METABOLISM</t>
  </si>
  <si>
    <t>Two psychrotolerant toluene-degrading Pseudomonas spp. were isolated from JP8 jet-fuel-contaminated soils, Scott Base, Antarctica. Isolates metabolized meta-toluate as sole carbon source at temperatures ranging from 6 to 30degreesC. Large plasmids (&gt;64kb) were isolated from both isolates. Sequence analysis of PCR products amplified using xylB (the gene encoding benzyl alcohol dehydrogenase) primers revealed that isolates 7/167 and 8/46 were 100% and 92% homologous, respectively, to the xylB gene of the meta-cleavage toluene degradative pathway encoded by the TOL plasmid (pWWO) of Pseudomonas putida mt-2. Assays of cell-free extracts of 7/167 and 8/46 demonstrated activity of catechol 2,3-dioxygenase, benzyl alcohol dehydrogenase, and benzaldehyde dehydrogenase. indicating that the isolates use the meta-cleavage pathway enzymes of toluene degradation typical of TOL. type plasmids. As both isolates are able to grow at 6 degreesC ex situ it is feasible that they would be able to metabolize toluene in the Antarctic soils from where they were originally isolated. (C) 2003 Elsevier Inc. All rights reserved.</t>
  </si>
  <si>
    <t>Univ Waikato, Dept Biol Sci, Hamilton, New Zealand; Landcare Res, Hamilton, New Zealand</t>
  </si>
  <si>
    <t>University of Waikato; Landcare Research - New Zealand</t>
  </si>
  <si>
    <t>Farrell, RL (corresponding author), Univ Waikato, Dept Biol Sci, Private Bag 3105, Hamilton, New Zealand.</t>
  </si>
  <si>
    <t>0006-291X</t>
  </si>
  <si>
    <t>BIOCHEM BIOPH RES CO</t>
  </si>
  <si>
    <t>Biochem. Biophys. Res. Commun.</t>
  </si>
  <si>
    <t>DEC 5</t>
  </si>
  <si>
    <t>10.1016/j.bbrc.2003.09.163</t>
  </si>
  <si>
    <t>749KR</t>
  </si>
  <si>
    <t>WOS:000186919500040</t>
  </si>
  <si>
    <t>Ohta, S; Kaiho, K; Takei, T</t>
  </si>
  <si>
    <t>Relationship between surface-water temperature and ice-sheet expansion during the middle Miocene</t>
  </si>
  <si>
    <t>Miocene; middle Miocene; cooling; ice sheet; planktonic foraminifera; paleotemperature</t>
  </si>
  <si>
    <t>PLANKTONIC FORAMINIFERAL BIOGEOGRAPHY; SEA BENTHIC FORAMINIFERA; SOUTHWEST PACIFIC; NORTH-ATLANTIC; OXYGEN ISOTOPES; OCEAN; OLIGOCENE; NEOGENE; CIRCULATION; CHRONOLOGY</t>
  </si>
  <si>
    <t>A three-fold expansion of the Antarctic ice sheet at 13.60, 12.82, and 11.60 Ma has been inferred from delta(18)O maxima analyzed in planktonic and benthic foraminiferal tests, although accompanying changes in sea surface temperature have not been detailed. We present estimated changes in middle Miocene surface-water temperatures based on analysis of delta(18)O in planktonic foraminifera collected at mid-latitude Deep Sea Drilling Project sites in the North Atlantic and South Pacific oceans. We also identify periods of ice-sheet growth based on comparisons of benthic and planktonic foraminiferal delta(18)O values. Our results indicate: (1) a distinct cooling of the sea surface from 13.6 to 13.5 Ma immediately following a peak in ice volume at 13.6 Ma, (2) a cooling of the sea surface during a period of increasing ice volume from 13.2 to 13.0 Ma, and (3) a development of the Antarctic ice sheet during a period of cooling of the sea surface centered at 11.6 Ma. (C) 2003 Elsevier B.V. All rights reserved.</t>
  </si>
  <si>
    <t>Tohoku Univ, Inst Geol &amp; Paleontol, Sendai, Miyagi 9808578, Japan</t>
  </si>
  <si>
    <t>Tohoku University</t>
  </si>
  <si>
    <t>Kaiho, K (corresponding author), Tohoku Univ, Inst Geol &amp; Paleontol, Sendai, Miyagi 9808578, Japan.</t>
  </si>
  <si>
    <t>kaiho@dges.tohoku.ac.jp</t>
  </si>
  <si>
    <t>10.1016/S0031-0182(03)00617-5</t>
  </si>
  <si>
    <t>753AL</t>
  </si>
  <si>
    <t>WOS:000187208900010</t>
  </si>
  <si>
    <t>Frank, M; van de Flierdt, T; Halliday, AN; Kubik, PW; Hattendorf, B; Günther, D</t>
  </si>
  <si>
    <t>Evolution of deepwater mixing and weathering inputs in the central Atlantic Ocean over the past 33 Myr -: art. no. 1091</t>
  </si>
  <si>
    <t>radiogenic isotopes; fracture zones; North Atlantic Deep Water; Antarctic Bottom Water; Saharan dust; Labrador Sea Water</t>
  </si>
  <si>
    <t>FE-MN CRUSTS; NORTHERN-HEMISPHERE GLACIATION; ANTARCTIC BOTTOM WATER; RARE-EARTH ELEMENTS; FERROMANGANESE CRUSTS; ISOTOPIC COMPOSITION; EQUATORIAL ATLANTIC; NEODYMIUM ISOTOPES; PB ISOTOPES; LEAD ISOTOPES</t>
  </si>
  <si>
    <t>The isotopic composition of Nd in present-day deep waters of the central and northeastern Atlantic Ocean is thought to fingerprint mixing of North Atlantic Deep Water with Antarctic Bottom Water. The central Atlantic Romanche and Vema Fracture Zones are considered the most important pathways for deep water exchange between the western and eastern Atlantic basins today. We present new Nd isotope records of the deepwater evolution in the fracture zones obtained from ferromanganese crusts, which are inconsistent with simple water mass mixing alone prior to 3 Ma and require additional inputs from other sources. The new Pb isotope time series from the fracture zones are inexplicable by simple mixing of North Atlantic Deep Water and Antarctic Bottom Water for the entire past 33 Myr. The distinct and relatively invariable Nd and Pb isotope records of deep waters in the fracture zones appear instead to have been controlled to a large extent by contributions from Saharan dust and the Orinoco/Amazon Rivers. Thus the previously observed similarity of Nd and Pb isotope time series from the western and eastern North Atlantic basins is better explainable by direct supply of Labrador Seawater to the eastern basin via a northern pathway rather than by advection of North Atlantic Deep Water via the Romanche and Vema Fracture Zones.</t>
  </si>
  <si>
    <t>ETH Zentrum, Dept Earth Sci, Inst Isotope Geol &amp; Mineral Resources, CH-8092 Zurich, Switzerland; ETH, Inst Particle Phys, Paul Scherrer Inst, CH-8093 Zurich, Switzerland; ETH Honggerberg, Inorgan Chem Lab, CH-8093 Zurich, Switzerland</t>
  </si>
  <si>
    <t>Swiss Federal Institutes of Technology Domain; ETH Zurich; Swiss Federal Institutes of Technology Domain; ETH Zurich; Paul Scherrer Institute; Swiss Federal Institutes of Technology Domain; ETH Zurich</t>
  </si>
  <si>
    <t>Frank, M (corresponding author), ETH Zentrum, Dept Earth Sci, Inst Isotope Geol &amp; Mineral Resources, NO F51-3,Sonneggstr 5, CH-8092 Zurich, Switzerland.</t>
  </si>
  <si>
    <t>Hattendorf, Bodo/0000-0001-9991-2410; Frank, Martin/0000-0002-8606-4421</t>
  </si>
  <si>
    <t>10.1029/2003PA000919</t>
  </si>
  <si>
    <t>756NG</t>
  </si>
  <si>
    <t>Green Accepted, Green Published</t>
  </si>
  <si>
    <t>WOS:000187486400001</t>
  </si>
  <si>
    <t>Rivière, ED; Terao, Y; Nakajima, H</t>
  </si>
  <si>
    <t>A Lagrangian method to study stratospheric nitric acid variations in the polar regions as measured by the Improved Limb Atmospheric Spectrometer -: art. no. 4718</t>
  </si>
  <si>
    <t>denitrification; PSC; homogenous freezing; sedimentation; ILAS; trajectory hunting</t>
  </si>
  <si>
    <t>OZONE DEPLETION; ARCTIC WINTER; OBSERVATIONAL EVIDENCE; REACTION PROBABILITIES; DENITRIFICATION; PARTICLES; VORTEX; ILAS; NUCLEATION; CLOUDS</t>
  </si>
  <si>
    <t>Denitrification is well known to affect the severity of springtime ozone depletion in Polar Regions. In winter 1996/1997 in the Northern Hemisphere and winter 1997 in the Southern Hemisphere, the Improved Limb Atmospheric Spectrometer (ILAS) on board the Advanced Earth Observing Satellite (ADEOS) detected denitrification in both hemispheres. Here the Match technique and a Lagrangian model are used to analyze the nitric acid variation between a pair of measurements belonging to the same air parcel. Eleven cases are studied in Antarctica and seventeen in the Arctic, permitting testing of the laboratory-measured homogeneous freezing rate of liquid ternary aerosol into nitric acid hydrates, thought to be the determining step of the denitrification process. Over the Antarctica, eight cases out of eleven lead to results in agreement with the measurements, taking into account uncertainties of the measurement and possible acceptable bias in the temperature field used for the modeling study. Over the Arctic, more cases remain unexplained even after taking into account the possible scavenging of nitric acid by large nitric acid trihydrate (NAT) particles falling from the layers above. These disagreements are mainly due to relatively high temperatures along the trajectories that do not lead to significant NAT or nitric acid dihydrate (NAD) freezing. Thus it appears that some additional mechanisms are required to explain the denitrification in the Arctic winter. Moreover, the occurrence of denitrification due to the few NAT particles with very large radius (few mm), the so-called NAT rocks, over the Antarctic winter in 1997 is suggested.</t>
  </si>
  <si>
    <t>Natl Inst Environm Studies, Satellite Remote Sensing Res Team, Tsukuba, Ibaraki 3058506, Japan</t>
  </si>
  <si>
    <t>riviere@cnrs-orleans.fr</t>
  </si>
  <si>
    <t>Nakajima, Hideaki/M-8845-2019; Terao, Yukio/A-2099-2008</t>
  </si>
  <si>
    <t>Nakajima, Hideaki/0000-0002-2742-1230; Riviere, Emmanuel/0000-0002-9516-3659; Terao, Yukio/0000-0003-2345-7073</t>
  </si>
  <si>
    <t>DEC 3</t>
  </si>
  <si>
    <t>10.1029/2003JD003718</t>
  </si>
  <si>
    <t>756MJ</t>
  </si>
  <si>
    <t>WOS:000187483000004</t>
  </si>
  <si>
    <t>Skinner, LC; Shackleton, NJ; Elderfield, H</t>
  </si>
  <si>
    <t>Millennial-scale variability of deep-water temperature and δ18Odw indicating deep-water source variations in the Northeast Atlantic, 0-34 cal. ka BP -: art. no. 1098</t>
  </si>
  <si>
    <t>deep-water temperature; Mg/Ca; termination I; thermohaline circulation; oceanography : general : paleoceanography; oceanography : biological and chemical : trace elements; oceanography : biological and chemical : stable isotopes</t>
  </si>
  <si>
    <t>LAST GLACIAL PERIOD; FORAMINIFERAL MG/CA-PALEOTHERMOMETRY; SEA-SURFACE TEMPERATURE; CLIMATE-CHANGE; PLANKTONIC-FORAMINIFERA; ICEBERG DISCHARGES; HEINRICH EVENTS; LEVEL CHANGE; ICE-SHEET; OCEAN</t>
  </si>
  <si>
    <t>[1] Paired measurements of Mg/Ca and delta(18)O(cc) (calcite delta(18)O) in benthic foraminifera from a deep-sea core recovered on the Iberian Margin (MD99-2334K; 37degrees 48'N, 10degrees10'W; 3,146 m) have been performed in parallel with planktonic delta(18)O(cc) analyses and counts of ice-rafted debris (IRD). The synchrony of temperature changes recorded in the Greenland ice cores and in North Atlantic planktonic delta(18)O(cc) allows the proxy records from MD99-2334K to be placed confidently on the GISP2 time-scale. This correlation is further corroborated by AMS C-14-dates. Benthic Mg/Ca measurements in MD99-2334K permit the reconstruction of past deep-water temperature (T-dw) changes since -34 cal. ka BP (calendar kiloyears before present). Using these T-dw estimates and parallel benthic delta(18)O(cc) measurements, a record of deepwater delta(18)O (delta(18)O(dw)) has been calculated. Results indicate greatly reduced T-dw in the deep Northeast Atlantic during the last glaciation until -15 cal. ka BP, when T-dw warmed abruptly to near-modern values in parallel with the onset of the Bolling-Allerod interstadial. Subsequently, Tdw reverted to cold glacial values between -13.4 and -11.4 cal. ka BP, in parallel with the Younger Dryas cold reversal and the H0 ice-rafting event. Similar millennial-scale T-dw changes also occurred during the last glaciation. Indeed, throughout the last -34 cal. ka, millennial delta(18)O(dw) and T-dw changes have remained well coupled and are linked with IRD pulses coincident with Heinrich events 3, 2, 1, and the Younger Dryas, when transitions to lower T-dw and delta(18)O(dw) conditions occurred. In general, millennial T-dw and delta(18)O(dw) variations recorded in MD99-2334K describe an alternation between colder, low-delta(18)O(dw) and warmer, high delta(18)O(dw) conditions, which suggests the changing local dominance of northern-sourced North Atlantic Deep Water (NADW) versus southern-sourced Antarctic Bottom Water (AABW). The observed similarity of the T-dw and GISP2 delta(18)O(ice) records would therefore suggest a common component of variability resulting from the coupling of NADW formation and Greenland climate. A link between Greenland stadials and the incursion of cold, low-delta(18)O(dw) AABW in the deep Northeast Atlantic is thus implied, which contributes to the relationship between Greenland climate and the millennial benthic delta(18)O(cc) signal since -34 cal. ka BP.</t>
  </si>
  <si>
    <t>Univ Cambridge, Dept Earth Sci, Godwin Inst Quaternary Res, Cambridge CB2 3SA, England; Univ Cambridge, Dept Earth Sci, Cambridge CB2 3EQ, England</t>
  </si>
  <si>
    <t>University of Cambridge; University of Cambridge</t>
  </si>
  <si>
    <t>Skinner, LC (corresponding author), Univ Cambridge, Dept Earth Sci, Godwin Inst Quaternary Res, New Museums Site,Pembroke St, Cambridge CB2 3SA, England.</t>
  </si>
  <si>
    <t>DEC 2</t>
  </si>
  <si>
    <t>10.1029/2003GC000585</t>
  </si>
  <si>
    <t>756LY</t>
  </si>
  <si>
    <t>WOS:000187481000001</t>
  </si>
  <si>
    <t>Reinsch, M</t>
  </si>
  <si>
    <t>A formula for the number of days between the winter solstice and the latest sunrise</t>
  </si>
  <si>
    <t>AMERICAN JOURNAL OF PHYSICS</t>
  </si>
  <si>
    <t>A simple closed-form expression for the number of days between the winter solstice and the latest sunrise is derived. Formulas for the summer solstice and the sunset are derived as well. These approximate formulas make it easy to see the functional dependence on the latitude of the observer. An approximate expression for the difference in time of day between the latest sunrise and the sunrise on the solstice is also derived. The formulas are not valid in the Arctic, Antarctic or tropics. (C) 2003 American Association of Physics Teachers.</t>
  </si>
  <si>
    <t>Univ Calif Berkeley, Dept Phys, Berkeley, CA 94720 USA</t>
  </si>
  <si>
    <t>Reinsch, M (corresponding author), Univ Calif Berkeley, Dept Phys, Berkeley, CA 94720 USA.</t>
  </si>
  <si>
    <t>AMER ASSOC PHYSICS TEACHERS AMER INST PHYSICS</t>
  </si>
  <si>
    <t>STE 1 NO 1, 2 HUNTINGTON QUADRANGLE, MELVILLE, NY 11747-4502 USA</t>
  </si>
  <si>
    <t>0002-9505</t>
  </si>
  <si>
    <t>AM J PHYS</t>
  </si>
  <si>
    <t>Am. J. Phys.</t>
  </si>
  <si>
    <t>DEC</t>
  </si>
  <si>
    <t>10.1119/1.1574041</t>
  </si>
  <si>
    <t>Education, Scientific Disciplines; Physics, Multidisciplinary</t>
  </si>
  <si>
    <t>Education &amp; Educational Research; Physics</t>
  </si>
  <si>
    <t>745MK</t>
  </si>
  <si>
    <t>WOS:000186692300004</t>
  </si>
  <si>
    <t>Lucassen, M; Schmidt, A; Eckerle, LG; Pörtner, HO</t>
  </si>
  <si>
    <t>Mitochondrial proliferation in the permanent vs. temporary cold:: enzyme activities and mRNA levels in Antarctic and temperate zoarcid fish</t>
  </si>
  <si>
    <t>AMERICAN JOURNAL OF PHYSIOLOGY-REGULATORY INTEGRATIVE AND COMPARATIVE PHYSIOLOGY</t>
  </si>
  <si>
    <t>cold acclimation; cytochrome c oxidase; citrate synthase; RNase protection assay; Zoarces viviparus; Pachycara brachycephalum</t>
  </si>
  <si>
    <t>TROUT ONCORHYNCHUS-MYKISS; CYPRINUS-CARPIO L; COD GADUS-MORHUA; THERMAL-ACCLIMATION; SKELETAL-MUSCLE; DEPENDENT BIOGEOGRAPHY; BIOLOGICAL-MEMBRANES; PHYSIOLOGICAL-BASIS; CITRATE SYNTHASE; SEA-BASS</t>
  </si>
  <si>
    <t>Adjustments in mitochondrial properties and capacities are crucial in acclimatization to seasonal cold and in evolutionary cold adaptation of marine ectotherms. Although long-term compensatory increments in aerobic capacity of fish tissues have frequently been described in response to cold, much less is known about transitional phases and gene expression patterns involved. We investigated the time course of adjustment to acute cold in liver of eurythermal eelpout Zoarces viviparus. Whereas citrate synthase (CS) activity rose progressively in liver, cytochrome c oxidase (COX) activity was not altered during cold acclimation. Species-specific RNA probes were used to determine mRNA levels. CS mRNA (nuclear encoded) displayed a delayed, transient increase in response to cold, such that transcript levels did not parallel the change in enzyme activity. The enzyme activities and mRNA levels in the confamilial Antarctic Pachycara brachycephalum indicate cold compensation of CS activity in this cold-adapted species. The ratio of CS and COX activities was elevated in acclimation and adaptation to cold, indicating enhanced citrate synthesis over respiratory chain capacities in cold-adapted liver mitochondria. This may support enhanced lipid synthesis typically found in cold. The ratio of enzyme activity and transcript levels differed largely between Z. viviparus populations from the Baltic and North Seas, indicating the influence of unidentified parameters other than temperature. Transcript levels may not be tightly correlated with enzyme activities during thermal adaptation and thereafter. The time course of the acclimation process indicates that regulation at the translational and posttranslational levels predominates in adjustment to moderate thermal challenges.</t>
  </si>
  <si>
    <t>Alfred Wegener Inst Polar &amp; Marine Res Ecophysiol, D-27568 Bremerhaven, Germany</t>
  </si>
  <si>
    <t>Lucassen, M (corresponding author), Alfred Wegener Inst Polar &amp; Marine Res Ecophysiol, Columbusstr, D-27568 Bremerhaven, Germany.</t>
  </si>
  <si>
    <t>Lucassen, Magnus/E-8433-2011; Pörtner, Hans-O./ISU-9397-2023; Lucassen, Magnus/ABA-8396-2021; Pörtner, Hans-O./K-9429-2016</t>
  </si>
  <si>
    <t>Lucassen, Magnus/0000-0003-4276-4781; Pörtner, Hans-O./0000-0001-6535-6575</t>
  </si>
  <si>
    <t>AMER PHYSIOLOGICAL SOC</t>
  </si>
  <si>
    <t>9650 ROCKVILLE PIKE, BETHESDA, MD 20814 USA</t>
  </si>
  <si>
    <t>0363-6119</t>
  </si>
  <si>
    <t>AM J PHYSIOL-REG I</t>
  </si>
  <si>
    <t>Am. J. Physiol.-Regul. Integr. Comp. Physiol.</t>
  </si>
  <si>
    <t>DEC 1</t>
  </si>
  <si>
    <t>R1410</t>
  </si>
  <si>
    <t>R1420</t>
  </si>
  <si>
    <t>10.1152/ajpregu.00111.2003</t>
  </si>
  <si>
    <t>742ZE</t>
  </si>
  <si>
    <t>WOS:000186547300017</t>
  </si>
  <si>
    <t>Bianchi, C; Cafarella, L; De Michelis, P; Forieri, A; Frezzotti, M; Tabacco, IE; Zirizzotti, A</t>
  </si>
  <si>
    <t>Radio Echo Sounding (RES) investigations at Talos Dome (East Antarctica): bedrock topography and ice thickness</t>
  </si>
  <si>
    <t>ANNALS OF GEOPHYSICS</t>
  </si>
  <si>
    <t>radio echo sounding; radio glaciology; ice thickness measurements</t>
  </si>
  <si>
    <t>AIRBORNE RADAR SURVEY; MORPHOLOGY; REGION; FLOW</t>
  </si>
  <si>
    <t>Radio echo sounding measurements were collected during two Antarctic expeditions to determine the ice thickness and the sub-glacial morphology of Talos Dome in the region around 72degrees48'S; 159degrees06'E (about 6400 km(2)) on the edge of the East Antarctic plateau adjacent to Victoria Land in the western Ross Sea sector. The increasing interest in this region is due to the fact that in this area the ice accumulation is higher than in other sites in East Antarctica. Because of this, Talos Dome could be a new site for a project of a deep ice core drilling to obtain information oil climate changes near the coast of Antarctica. In this frame, the knowledge of the bedrock topography is of great importance to choose the best location for the drilling site. In this paper, airborne radio echo sounding results from two Antarctic expeditions (1997 and 1999) are presented. Bedrock topography in bi- and three-dimensions for the Talos Dome region are discussed.</t>
  </si>
  <si>
    <t>Ist Nazl Geofis &amp; Vulcanol, I-00143 Rome, Italy; ENEA, Progetto Speciale Clima, Rome, Italy; Univ Milan, Dipartimento Sci Terra, Milan, Italy; Univ Siena, Dipartimento Sci Terra, Siena, Italy</t>
  </si>
  <si>
    <t>Istituto Nazionale Geofisica e Vulcanologia (INGV); Italian National Agency New Technical Energy &amp; Sustainable Economics Development; University of Milan; University of Siena</t>
  </si>
  <si>
    <t>Zirizzotti, Achille/HKE-0592-2023; FREZZOTTI, Massimo/AAK-7275-2020; Cafarella, Lili/HTO-5890-2023; cafarella, lili/G-4160-2011</t>
  </si>
  <si>
    <t>FREZZOTTI, Massimo/0000-0002-2461-2883; cafarella, lili/0000-0003-2005-8923; Zirizzotti, Achille/0000-0001-7586-9219</t>
  </si>
  <si>
    <t>EDITRICE COMPOSITORI BOLOGNA</t>
  </si>
  <si>
    <t>VIA STALINGRADO 97/2, I-40128 BOLOGNA, ITALY</t>
  </si>
  <si>
    <t>1593-5213</t>
  </si>
  <si>
    <t>ANN GEOPHYS-ITALY</t>
  </si>
  <si>
    <t>820DR</t>
  </si>
  <si>
    <t>WOS:000221367700006</t>
  </si>
  <si>
    <t>Walton, D</t>
  </si>
  <si>
    <t>The International Polar Year in 2007</t>
  </si>
  <si>
    <t>Walton, David/0000-0002-7103-4043</t>
  </si>
  <si>
    <t>10.1017/S0954102003001676</t>
  </si>
  <si>
    <t>755AX</t>
  </si>
  <si>
    <t>WOS:000187366600001</t>
  </si>
  <si>
    <t>Allcock, AL; Hochberg, FG; Rodhouse, PGK; Thorpe, JP</t>
  </si>
  <si>
    <t>Adelieledone, a new genus of octopodid from the Southern Ocean</t>
  </si>
  <si>
    <t>antarctica; cephalopoda; octopodidae; Pareledone; taxonomy</t>
  </si>
  <si>
    <t>PARELEDONE; CEPHALOPODA; PREY</t>
  </si>
  <si>
    <t>The syntypes of the endemic Southern Ocean octopodid Pareledone polymorpha (Robson, 1930) were re-examined and measurements, counts and indices are presented. The two forms described by Robson, namely oblonga and affinis, are determined to have no taxonomic validity. The species polymorpha shows morphological similarities with Pareledone adelieana (Berry, 1917) but differs in relative arm lengths, sucker counts, external colouration and size at maturity. Both species are transferred to the new genus Adelieledone, which is separated from the genus Pareledone s.s. by the transverse ridges in the ligula groove of the hectocotylus, the sharp tip of the lower beak, the enlarged posterior salivary glands, the absence of stylets and by skin sculpture, especially by the presence of two longitudinal integumentary ridges on the dorsal mantle. A new species, Adelieledone piatkowski, is described from the Antarctic Peninsula. Beak morphology can discriminate the genera in predator studies.</t>
  </si>
  <si>
    <t>Queens Univ Belfast, Sch Biol &amp; Biochem, Belfast BT9 7BL, Antrim, North Ireland; Santa Barbara Museum Nat Hist, Dept Invertebrate Zool, Santa Barbara, CA 93105 USA; British Antarctic Survey, NERC, Cambridge CB3 0ET, England; Univ Liverpool, Port Erin Marine Lab, Dept Ecol &amp; Evolutionary Biol, Port Erin IM9 6JA, Man, England</t>
  </si>
  <si>
    <t>Queens University Belfast; UK Research &amp; Innovation (UKRI); Natural Environment Research Council (NERC); NERC British Antarctic Survey; University of Liverpool</t>
  </si>
  <si>
    <t>Allcock, AL (corresponding author), Queens Univ Belfast, Sch Biol &amp; Biochem, 97 Lisburn Rd, Belfast BT9 7BL, Antrim, North Ireland.</t>
  </si>
  <si>
    <t>Allcock, Louise/A-7359-2012; Mata-Rosas, Martín/G-8951-2018</t>
  </si>
  <si>
    <t>Allcock, Louise/0000-0002-4806-0040; Rodhouse, Paul/0000-0001-5399-967X</t>
  </si>
  <si>
    <t>10.1017/S0954102003001512</t>
  </si>
  <si>
    <t>WOS:000187366600002</t>
  </si>
  <si>
    <t>Dalla Riva, S; Abelmoschi, ML; Chiantore, M; Grotti, M; Magi, E; Soggia, F</t>
  </si>
  <si>
    <t>Biogeochemical cycling of Pb in the coastal marine environment at Terra Nova Bay, Ross Sea</t>
  </si>
  <si>
    <t>Antarctica; Antarctic Environmental Specimen Bank; biomonitors; leads</t>
  </si>
  <si>
    <t>HEAVY-METALS; TRACE-METALS; SNOW; ICE; ANTARCTICA; SPECIATION; SEDIMENTS; LEAD</t>
  </si>
  <si>
    <t>The biogeochemical cycle of lead in the marine coastal environment of Terra Nova Bay has been investigated by determining the lead concentration in a large number of matrices: marine sediments, pack ice, snow, seawater, marine microlayer, aerosol and eight species of marine organisms (the bivalve molluscs Adamussium colbecki and Laternula elliptica, the seastar Odontaster validus, the sea urchin Sterechinus neumayeri, the fish Trematomus bernacchii, the seaweeds Iridaea cordata and Phyllophora antarctica, and the nemertine worm Parborlasia corrugatus). The study of solid speciation of sediment showed that the site is not influenced by human activity and is hence suitable to examine natural processes. The concentration values found in the suspended particulate matter (SPM) of pack ice core, aerosol, marine microlayer and seawater as well as the particulate morphology, investigated by SEM, seem to support the hypothesis that particulate lead is transferred from the atmosphere to the water column through three different mechanisms: (i) release of SPM from the pack ice during its melting, (ii) input from the continental land through wet deposition, (iii) transport by aerosol and marine microlayer. Concentration data both in the whole organism and in some target organs indicated two suitable biomonitor organisms: the bivalva Laternula elliptica (particularly its digestive gland) and the fish Trematomus bernacchii (particularly its bones).</t>
  </si>
  <si>
    <t>Univ Genoa, Dept Chem &amp; Ind Chem, I-16146 Genoa, Italy; Univ Genoa, Dipteris, I-16132 Genoa, Italy</t>
  </si>
  <si>
    <t>University of Genoa; University of Genoa</t>
  </si>
  <si>
    <t>Soggia, F (corresponding author), Univ Genoa, Dept Chem &amp; Ind Chem, Via Dodecaneso 31, I-16146 Genoa, Italy.</t>
  </si>
  <si>
    <t>Grotti, Marco/HGU-3949-2022; Magi, Emanuele/C-9564-2011; Chiantore, Mariachiara/C-7070-2017</t>
  </si>
  <si>
    <t>Grotti, Marco/0000-0001-6956-5761; Magi, Emanuele/0000-0002-8183-5020; Chiantore, Mariachiara/0000-0002-5862-1470</t>
  </si>
  <si>
    <t>10.1017/S0954102003001524</t>
  </si>
  <si>
    <t>WOS:000187366600003</t>
  </si>
  <si>
    <t>Diversity of Peracarida (Crustacea, Malacostraca) caught in a suprabenthic sampler</t>
  </si>
  <si>
    <t>antarctic autumn; peracarid crustaceans; Southern Ocean; suprabenthos</t>
  </si>
  <si>
    <t>EASTERN WEDDELL SEA; AMPHIPODS; BIOLOGY; FAUNA</t>
  </si>
  <si>
    <t>The composition of suprabenthic Peracarida from a depth between 1 and 1.33 m above the seafloor was investigated. In order to study the abundance and diversity quantitatively, the samples were taken by means of the supranet of an epibenthic sledge off Kapp Norvegia and off the South Shetland Islands. The samples were taken during ANT XVII-3 with RV Polarstern in April and May 2000. These samples of EASIZ III received during the Antarctic autumn are compared with those of EASIZ II taken during the summer. While the autumn samples show far less abundance of all peracarid taxa, the diversity is about twice as high as during summer. In total 115 species of peracarid crustaceans were sampled at six stations yielding 1336 individuals standardized to 1000 m(3) hauls. Amphipoda clearly dominated in abundance and diversity.</t>
  </si>
  <si>
    <t>Natl Inst Water &amp; Atmospher Res, NIWA, Wellington, New Zealand; Univ Hamburg, Zool Inst &amp; Museum, D-20146 Hamburg, Germany</t>
  </si>
  <si>
    <t>10.1017/S0954102003001536</t>
  </si>
  <si>
    <t>WOS:000187366600004</t>
  </si>
  <si>
    <t>Bayly, IAE; Gibson, JAE; Wagner, B; Swadling, KM</t>
  </si>
  <si>
    <t>Taxonomy, ecology and zoogeography of two East Antarctic freshwater calanoid copepod species:: Boeckella poppei and Gladioferens antarcticus</t>
  </si>
  <si>
    <t>Amery Oasis; biogeography; Bunger Hills; ecology; epishelf lake; Gondwana; vicariance</t>
  </si>
  <si>
    <t>BUNGER HILLS; EPISHELF LAKE; SOUTH-AMERICA; BIODIVERSITY; BIOGEOGRAPHY; CRUSTACEA; ISLANDS; BEAVER; OASIS</t>
  </si>
  <si>
    <t>New populations of the two species of calanoid copepods known to inhabit freshwater lakes in East Antarctica, Boeckella poppei (Mrazek, 1901) and Gladioferens antarcticus Bayly, 1994, have recently been discovered. The morphology of the populations of B. poppei showed significant differences, notably a reduction in the armature of the male fifth leg, when compared with typical specimens from the Antarctic Peninsula and South America. Gladioferens antarcticus had previously been recorded from a single lake in the Bunger Hills, but has now been recorded from three further lakes in this region. A recent review of Antarctic terrestrial And limnetic zooplankton suggested that neither of these species can be considered an East Antarctic endemic, with B. poppei being listed as a recent anthropogenic introduction and G antarcticus a 'marine interloper'. We conclude differently: B. poppei has been present in isolated populations in East Antarctica for significant lengths of time, possibly predating the current interglacial, while G antarcticus is a true Antarctic endemic species whose ancestors have been present in the region since before Australia separated from Antarctica.</t>
  </si>
  <si>
    <t>Univ Tasmania, Inst Antarctic &amp; So Ocean Studies, Hobart, Tas 7001, Australia; Monash Univ, Sch Biol Sci, Clayton, Vic 3800, Australia; Univ Tasmania, Sch Zool, Hobart, Tas 7001, Australia; Univ Leipzig, Fac Phys &amp; Geosci, Inst Geophys &amp; Geol, D-04103 Leipzig, Germany</t>
  </si>
  <si>
    <t>University of Tasmania; Monash University; University of Tasmania; Leipzig University</t>
  </si>
  <si>
    <t>Gibson, JAE (corresponding author), Univ Tasmania, Inst Antarctic &amp; So Ocean Studies, Private Bag 77, Hobart, Tas 7001, Australia.</t>
  </si>
  <si>
    <t>Wagner, Bernd/J-4682-2012</t>
  </si>
  <si>
    <t>Wagner, Bernd/0000-0002-1369-7893; Swadling, Kerrie/0000-0002-7620-841X</t>
  </si>
  <si>
    <t>10.1017/S0954102003001548</t>
  </si>
  <si>
    <t>WOS:000187366600005</t>
  </si>
  <si>
    <t>Dummermuth, AL; Wiencke, C</t>
  </si>
  <si>
    <t>Experimental investigation of seasonal development in six Antarctic red macroalgae</t>
  </si>
  <si>
    <t>growth; life strategies; morphological development; phenology; Rhodophyta; seaweeds</t>
  </si>
  <si>
    <t>KING-GEORGE-ISLAND; LONG-TERM CULTURE; TEMPERATURE REQUIREMENTS; PHOTOSYNTHETIC CHARACTERISTICS; GROWTH; LIGHT; BROWN; ACCLIMATION; ALGAE; SEA</t>
  </si>
  <si>
    <t>The phenology of six Antarctic red macroalgae, Delesseria salicifolia Reinsch, Gymnogongrus antarcticus Skottsberg, Gymnogongrus turquetii Hariot, Hymenocladiopsis crustigena Moe, Kallymenia antarctica Hariot and Phyllophora ahnfeltioides Skottsberg, was investigated in a two-year culture study under fluctuating daylengths imitating the conditions of King George Island, South Shetland Islands. The algae were cultured at 0degreesC in filtered, nutrient enriched seawater under photon fluence rates of 3, 10, 25, 50 mumol photons m(-2) s(-1). All species are classified as season anticipators, starting growth in late winter-spring and stopping growth before the summer solstice. Formation of new blades was observed from January/February onwards in most of the species. Carpospore formation was observed in K. antarctica in early summer. Growth was light saturated at photon fluence rates of 3 mumol photons m(-2) s(-1) in D. salicifolia and at 10 mumol photons m(-2) s(-1) in the other species, corresponding to an annual light dose of 31.4 and 157 mol photons m(-2). The results show that this type of life strategy is typical for species from the Antarctic and give further evidence on the high degree of shade adaptation of Antarctic algae and predict a lower distribution limit for these species at 37 +/- 15 m and 23 +/- 10 m, respectively.</t>
  </si>
  <si>
    <t>Alfred Wegener Inst Polar &amp; Marine Res, Handelshafen 12, D-27570 Bremerhaven, Germany.</t>
  </si>
  <si>
    <t>adummermuth@awi-bremerhaven.de</t>
  </si>
  <si>
    <t>Dummermuth, Angelika/0009-0009-4348-4379</t>
  </si>
  <si>
    <t>10.1017/S095410200300155X</t>
  </si>
  <si>
    <t>WOS:000187366600006</t>
  </si>
  <si>
    <t>Fanta, E; Rios, FS; Donatti, L; Cardoso, WE</t>
  </si>
  <si>
    <t>Spatial and temporal variation in krill consumption by the Antarctic fish Notothenia coriiceps, in Admiralty Bay, King George Island</t>
  </si>
  <si>
    <t>diet; macroalgae; South Shetland Islands</t>
  </si>
  <si>
    <t>SOUTH SHETLAND ISLANDS; POTTER COVE; PENINSULA; ECOLOGY</t>
  </si>
  <si>
    <t>An index of integrated food preferences (IFA) of Notothenia coriiceps Richardson at two sites in Admiralty Bay (Ipanema and Smok Point), calculated for two sequential summers, showed that during 1998/99, the most important food item was Euphausia superba (krill) at both Ipanema (IFA = 0.83) and Smok Point (IFA = 0.75), while the sum of all other food items was significantly smaller (IFA respectively 0.21 and 0.26). Macroalgae, gammarid amphipods and gastropods dominated the diet in the summer 1999/00 (IFA respectively 0.32, 0.32 and 0.21), at Ipanema, while macroalgae were dominant at Smok (IFA = 0.67), where krill and amphipods were secondary prey (IFA respectively 0.12 and 0.14) and gastropods were absent. Thus, the diet composition of N. coriiceps can possibly be used as an indicator of the presence of pelagic krill swarms.</t>
  </si>
  <si>
    <t>Univ Fed Parana, Dept Biol Celular, Grp Estudos Impacto Ambiental, BR-81531970 Curitiba, Parana, Brazil</t>
  </si>
  <si>
    <t>Universidade Federal do Parana</t>
  </si>
  <si>
    <t>Fanta, E (corresponding author), Univ Fed Parana, Dept Biol Celular, Grp Estudos Impacto Ambiental, Caixa Postal 19031, BR-81531970 Curitiba, Parana, Brazil.</t>
  </si>
  <si>
    <t>Donatti, Lucelia/E-1930-2013</t>
  </si>
  <si>
    <t>Donatti, Lucelia/0000-0002-9023-2483</t>
  </si>
  <si>
    <t>10.1017/S0954102003001561</t>
  </si>
  <si>
    <t>WOS:000187366600007</t>
  </si>
  <si>
    <t>Mayzaud, P; Boutoute, M; Alonzo, F</t>
  </si>
  <si>
    <t>Lipid composition of the euphausiids Euphausia vallentini and Thysanoessa macrura during summer in the Southern Indian Ocean</t>
  </si>
  <si>
    <t>antarctic; phospholipids; triacylglycerols; trophic status; wax esters; zooplankton</t>
  </si>
  <si>
    <t>MIDWATER FOOD WEB; ANTARCTIC KRILL; ECOLOGICAL IMPLICATIONS; SUPERBA DANA; CRYSTALLOROPHIAS; ZOOPLANKTON; METABOLISM; GEORGIA; BIODIVERSITY; ESTERS</t>
  </si>
  <si>
    <t>Two species of euphausiids (Thysanoessa macrura Sars and Euphausia vallentini Stebbing) from the Southern Indian Ocean were analysed for their lipid content, fatty acid and fatty alcohol composition, in relation to developmental stage (T.m) and sex (E.v). Lipid composition showed wax esters and triacylglycerols as main neutral lipids for T macrura and E. vallentini respectively. Allometric relationships between lipid class and total lipids indicated that changes in total lipids were size dependent and mainly related to wax esters in T macrura and polar lipids (both phosphatidylcholine or PC and phosphatidylethanolamine or PE) in E. vallentini. No difference in lipid composition could be shown for mate and female E. vallentini, while sampling location, developmental stage and sex were significantly influential in T macrura. In this latter species wax esters displayed relatively similar fatty acid and alcohol composition in both juvenile and female stages, whereas a striking difference could be seen between females and juveniles in terms of polar lipids with a very low PE content in females. Male and female E. vallentini showed little differences in fatty acid structure with the exception of PC in females, which were low in 22:6n-3. The trophic status of these two species was established using multivariate discriminant analysis, which indicated for E. vallentini a degree of omnivory similar to E. superba, while these T macrura appeared more omnivorous than individuals collected in other areas of the Southern Ocean. Clustering of polar lipid composition suggested a link between differences in PC fatty acid and the post-spawn stage of the female of E. vallentini collected. The same probably applies for the changes in PE recorded for T macrura females.</t>
  </si>
  <si>
    <t>CNRS, UMR 7093, LOV, Observ Oceanol Oceanog Biochim &amp; Ecol, F-06230 Villefranche Sur Mer, France</t>
  </si>
  <si>
    <t>Sorbonne Universite; Centre National de la Recherche Scientifique (CNRS); CNRS - National Institute for Earth Sciences &amp; Astronomy (INSU)</t>
  </si>
  <si>
    <t>Mayzaud, P (corresponding author), CNRS, UMR 7093, LOV, Observ Oceanol Oceanog Biochim &amp; Ecol, BP 28, F-06230 Villefranche Sur Mer, France.</t>
  </si>
  <si>
    <t>Alonzo, Frederic/0000-0002-7526-8058</t>
  </si>
  <si>
    <t>10.1017/S0954102003001573</t>
  </si>
  <si>
    <t>WOS:000187366600008</t>
  </si>
  <si>
    <t>Capitanio, FL; Daponte, MC; Esnal, GB</t>
  </si>
  <si>
    <t>The classification of Antarctic appendicularians:: the Oikopleura gaussica group</t>
  </si>
  <si>
    <t>intraspecific variability; Southern Ocean; Tunicata</t>
  </si>
  <si>
    <t>VANHOEFFENI APPENDICULARIA; FECAL PELLETS; LARVACEA; DIOICA; FILTER; HOUSE; BIOLUMINESCENCE; ULTRASTRUCTURE; LABRADORIENSIS; UROCHORDATA</t>
  </si>
  <si>
    <t>The validity of the Antarctic species of the Oikopleura gaussica group (O. gaussica, O. valdiviae, O. drygalskii, and O. weddelli) is discussed. The characteristics of new material from South Georgia and the Bellingshausen Sea are compared with the original descriptions. We examined 495 specimens at different stages of maturity and concluded that the characters used to differentiate these species of Oikopleura have not enough weight to justify their separation. The morphological variations found were ascribed either to intraspecific variability and/or to the different degree of maturity of the specimens examined of a single species, Oikopleura gaussica. The main taxonomic characters for the identification of this species are: the particular way in which the flat triangular gonads surround the intestinal ball like a sheath, the equal size of the two lobes of the stomach, the oesophagus entering the postero-dorsal edge of the rounded left lobe of the stomach, the presence of oval and some times lobate oral glands, and the variable number of subchordal cells (4 to 14) arranged in a single row on the right (ventral) side of the chorda.</t>
  </si>
  <si>
    <t>Univ Buenos Aires, Fac Ciencias Exactas &amp; Nat, Dept Ciencias Biol, CONICET, RA-1428 Buenos Aires, DF, Argentina</t>
  </si>
  <si>
    <t>Consejo Nacional de Investigaciones Cientificas y Tecnicas (CONICET); University of Buenos Aires</t>
  </si>
  <si>
    <t>Capitanio, FL (corresponding author), Univ Buenos Aires, Fac Ciencias Exactas &amp; Nat, Dept Ciencias Biol, CONICET, C1428EHA, RA-1428 Buenos Aires, DF, Argentina.</t>
  </si>
  <si>
    <t>10.1017/S0954102003001585</t>
  </si>
  <si>
    <t>WOS:000187366600009</t>
  </si>
  <si>
    <t>Zúñiga-Feest, A; Inostroza, P; Vega, M; Bravo, LA; Corcuera, LJ</t>
  </si>
  <si>
    <t>Sugars and enzyme activity in the grass Deschampsia antarctica</t>
  </si>
  <si>
    <t>cold acclimation; maritime Antarctic; Poaceae; sucrose accumulation</t>
  </si>
  <si>
    <t>SUCROSE-PHOSPHATE SYNTHASE; LOW-TEMPERATURE STRESS; SECALE-CEREALE L; COLD-ACCLIMATION; WINTER-WHEAT; FREEZING TOLERANCE; VASCULAR PLANTS; PHOTOSYNTHESIS; LEAVES; CARBOHYDRATE</t>
  </si>
  <si>
    <t>Deschampsia antarctica is a freezing-tolerant plant and the only native Poaceae that grows in the Maritime Antarctic. During the long days of the growing season this plant accumulates sucrose (Suc) in the leaves to 36% of the dry weight. The mechanism that leads to this high accumulation is unknown. The effect of day length and low temperature on sucrose phosphate synthase (SPS) (EC: 2.4.1.14) activity and sugar accumulation was studied in D. antarctica and compared with other Poaceae. Three different day lengths: short (SD) (8/16 h), medium (MD) (16/8 h) and long (LD) (21/3 h); and two temperatures: 4degreesC (cold-acclimated) and 15degreesC (non-acclimated) were tested. The highest contents in total soluble sugars (TSS) and Suc were reached in crowns and leaves, respectively, in cold-acclimated plants under LD. TSS and Suc contents and SPS activity with cold acclimation were higher in D. antarctica than in other agricultural (wheat, oat and barley) and non-agricultural (D. caespitosa and D. beringensis) Poaceae species. Suc/TSS ratio was higher in all Deschampsia species than in agricultural Poaceae species. SPS activity and sucrose content in leaves were positively correlated only in LD cold acclimated plants. This result shows that SPS activity is responsive to day length in D. antarctica.</t>
  </si>
  <si>
    <t>Univ Concepcion, Fac Ciencias Nat &amp; Oceanog, Dept Bot, Concepcion, Chile; Univ Concepcion, Fac Farm, Dept Bromatol Nutr &amp; Dietet, Concepcion, Chile</t>
  </si>
  <si>
    <t>Universidad de Concepcion; Universidad de Concepcion</t>
  </si>
  <si>
    <t>Corcuera, LJ (corresponding author), Univ Concepcion, Fac Ciencias Nat &amp; Oceanog, Dept Bot, Casilla 160-C, Concepcion, Chile.</t>
  </si>
  <si>
    <t>Bravo, León/AAO-8437-2020; Corcuera, Luis J/G-1714-2014; Bravo, Leon/H-9251-2018; Zuniga-Feest, Alejandra/D-8308-2015</t>
  </si>
  <si>
    <t>Bravo, León/0000-0003-4705-4842; Bravo, Leon/0000-0003-4705-4842; Zuniga-Feest, Alejandra/0000-0002-3524-9813</t>
  </si>
  <si>
    <t>10.1017/S0954102003001597</t>
  </si>
  <si>
    <t>WOS:000187366600010</t>
  </si>
  <si>
    <t>Oberholzer, P; Baroni, C; Schaefer, JM; Orombelli, G; Ochs, SI; Kubik, PW; Baur, H; Wieler, R</t>
  </si>
  <si>
    <t>Limited Pliocene/Pleistocene glaciation in Deep Freeze Range, northern Victoria Land, Antarctica, derived from in situ cosmogenic nuclides</t>
  </si>
  <si>
    <t>East Antarctic Ice Sheet; erosion rates; glacial drifts; surface exposure dating; Terra Nova Bay</t>
  </si>
  <si>
    <t>RAY-PRODUCED NEON; DRY-VALLEYS; TRANSANTARCTIC-MOUNTAINS; EXPOSURE AGES; LANDSCAPE EVOLUTION; PRODUCTION-RATES; TAYLOR GLACIER; SIRIUS GROUP; BE-10; AL-26</t>
  </si>
  <si>
    <t>The question of how stable the climate in Antarctica has been during the last few million years compared to the rest of the planet is still controversial. This study attempts to add new information to the discussion by reconstructing the timing and spatial extent of glacial advances in northern Victoria Land over tens of thousands to millions of years. In Terra Nova Bay region, surface exposure ages and erosion rates of glacially rounded bedrock and glacial erratics have been determined using the cosmogenic nuclides He-3, Be-10 and Ne-21. Three morphological units have been analysed. They yield minimum ages of 11 to 34 ka, 309 ka, and 2.6 Ma, respectively. Erosion rates were as low as 20 cm Ma(-1) since middle Pliocene time. Taking erosion into account, the oldest surface is 5.3 Ma old. Pleistocene glacier advances had considerable extent, reaching up to 780 m above modem ice levels, but have been restricted to the valleys since at least mid-Pliocene. The existence of landscapes of mid-Pliocene age in northern Victoria Land implies that the climatic stability of the McMurdo Dry Valleys is not unique within the Transantarctic Mountains, but rather the expression of a constantly cold and hyperarid climate regime in entire Victoria Land.</t>
  </si>
  <si>
    <t>ETH, Inst Isotope Geol &amp; Mineral Resources, CH-8092 Zurich, Switzerland; Univ Pisa, Dipartimento Sci Terra, I-56126 Pisa, Italy; CNR, Ist Geosci &amp; Georisorse, I-56126 Pisa, Italy; Columbia Univ, Lamont Doherty Earth Observ, Palisades, NY 10964 USA; Univ Milano Bicocca, Dipartimento Sci Ambiente &amp; Terr, I-20126 Milan, Italy; ETH, ETH Honggerberg, Inst Particle Phys, Paul Scherrer Inst, CH-8093 Zurich, Switzerland</t>
  </si>
  <si>
    <t>Swiss Federal Institutes of Technology Domain; ETH Zurich; University of Pisa; Consiglio Nazionale delle Ricerche (CNR); Istituto di Geoscienze e Georisorse (IGG-CNR); Columbia University; University of Milano-Bicocca; Swiss Federal Institutes of Technology Domain; ETH Zurich; Paul Scherrer Institute</t>
  </si>
  <si>
    <t>ETH, Inst Isotope Geol &amp; Mineral Resources, Sonneggstr 5, CH-8092 Zurich, Switzerland.</t>
  </si>
  <si>
    <t>oberholzer@erdw.ethz.ch</t>
  </si>
  <si>
    <t>Baroni, Carlo/D-8184-2012; Wieler, Rainer/A-1355-2010</t>
  </si>
  <si>
    <t>Baroni, Carlo/0000-0001-5905-4650; Wieler, Rainer/0000-0001-5666-7494</t>
  </si>
  <si>
    <t>10.1017/S0954102003001603</t>
  </si>
  <si>
    <t>WOS:000187366600011</t>
  </si>
  <si>
    <t>Evans, J; Cofaigh, CO</t>
  </si>
  <si>
    <t>Supraglacial debris along the front of the Larsen-A Ice Shelf, Antarctic Peninsula</t>
  </si>
  <si>
    <t>antarctica; calving margin; glacimarine sediment; grounding line</t>
  </si>
  <si>
    <t>GLACIER; SEDIMENTATION; RETREAT; FACIES; EAST</t>
  </si>
  <si>
    <t>Semi-continuous, linear accumulations of poorly-sorted debris are present on the surface of the remnant Larsen-A Ice Shelf, Antarctic Peninsula. These accumulations form a complex of debris bands extending parallel to the front of the ice shelf for several kilometres. Landsat imagery shows that the debris bands originated as lateral moraines along the Nordenskjold Coast. Almost 80% of clasts sampled from these debris accumulations have shape/roundness characteristics consistent with glacier transport in the zone of basal traction. Angular and very angular clasts account for 15% and 22% of clasts in the pebble- and cobble/boulder-sized fractions, respectively, and originated by rockfall from valley/nunatak sides, with subsequent passive glacier transportation. Lithological analysis indicates that the debris is derived locally from the Nordenskjold Coast, Cape Fairweather region and interior of the Antarctic Peninsula. Episodic melt-out and resedimentation of this debris from the front of the ice shelf would deliver pulses of coarse-grained sediment to the sea floor. Therefore, coarse-grained debris can also be released along the calving margin of small polar ice shelves fringing mountainous terrain, and could potentially be confused with sediment deposited at the grounding line of Antarctic ice-shelves. Sedimentological criteria to differentiate between these environments are proposed in this paper.</t>
  </si>
  <si>
    <t>Univ Cambridge, Scott Polar Res Inst, Cambridge CB2 1ER, England; British Antarctic Survey, NERC, Cambridge CB3 0ET, England</t>
  </si>
  <si>
    <t>Evans, J (corresponding author), Univ Cambridge, Scott Polar Res Inst, Cambridge CB2 1ER, England.</t>
  </si>
  <si>
    <t>je10007@cam.ac.uk</t>
  </si>
  <si>
    <t>Evans, Jeffrey/F-5548-2010</t>
  </si>
  <si>
    <t>10.1017/S0954102003001615</t>
  </si>
  <si>
    <t>WOS:000187366600012</t>
  </si>
  <si>
    <t>Kriwet, J</t>
  </si>
  <si>
    <t>First record of an Early Cretaceous shark (Chondrichthyes, Neoselachii) from Antarctica</t>
  </si>
  <si>
    <t>Alexander Island; Fossil Bluff Group; synechodontiformes</t>
  </si>
  <si>
    <t>ALEXANDER ISLAND; PENINSULA; HISTORY</t>
  </si>
  <si>
    <t>A shark tooth from the Spartan Glacier Formation of the Fossil Bluff Group of Alexander Island, Antarctic Peninsula is described and assigned to Palaeospinacidae, an extinct group of neoselachian sharks. This tooth was previously supposed to have been recovered from Middle Jurassic strata and to belong to Hybodus. However, sedimentation of the Spar-tan Glacier Formation was from the Valangian to Aptian. Consequently, an Early Cretaceous age is assigned to the specimen although its exact stratigraphical horizon is unknown. A generic assignment, however, is not possible although it may belong to Paraorthacodus. This specimen represents the first record of a neoselachian from the Early Cretaceous of Antarctica.</t>
  </si>
  <si>
    <t>Univ Bristol, Dept Earth Sci, Bristol BS8 1RJ, Avon, England</t>
  </si>
  <si>
    <t>Kriwet, J (corresponding author), Univ Bristol, Dept Earth Sci, Wills Mem Bldg,Queens Rd, Bristol BS8 1RJ, Avon, England.</t>
  </si>
  <si>
    <t>juergen.kriwet@bristol.ac.uk</t>
  </si>
  <si>
    <t>Kriwet, Jürgen/B-3165-2011</t>
  </si>
  <si>
    <t>Kriwet, Jurgen/0000-0002-6439-8455</t>
  </si>
  <si>
    <t>10.1017/S0954102003001627</t>
  </si>
  <si>
    <t>WOS:000187366600013</t>
  </si>
  <si>
    <t>Taylor, F; Leventer, A</t>
  </si>
  <si>
    <t>Late quaternary palaeoenvironments in Prydz Bay, East Antarctica: interpretations from marine diatoms</t>
  </si>
  <si>
    <t>Antarctica diatoms; Holocene; Last Glacial Maximum; Pleistocene</t>
  </si>
  <si>
    <t>ICE-SHEET; VESTFOLD HILLS; SURFACE SEDIMENTS; SEA-ICE; FACIES; SHELF; BIOSTRATIGRAPHY; PALEOCLIMATE; ASSEMBLAGES; PENINSULA</t>
  </si>
  <si>
    <t>Fossil diatom-bearing marine sediment cores recovered from Prydz Channel, Prydz Bay, record episodes of glacial advance and retreat in the bay. Diatom frustules are abundant, well preserved, and the species composition is diverse in two biogenic sediment units composed of siliceous diatom ooze (SMO-1 and SMO-2). Between SMO-1 and SMO-2 a terrigenous unit (T) is present, composed of muddy diamicton and sandy silty clay, which contains poorly preserved rare diatoms. The SMO units are interpreted to represent an open marine setting with seasonal sea ice cover; the T unit is interpreted to represent glacial ice expansion from the Amery Ice Shelf over the site. Based on an age model developed previously for other cores from Prydz Channel with analogous stratigraphies, we interpret our record to be late Quaternary through Holocene in age. The T unit records the Last Glacial Maximum (LGM) in Prydz Bay; the SMO-1 and SMO-2 units record interstadial episodes that are post- and pre-LGM respectively. Extinct diatom taxa in the T and SMO-2 units indicate reworked sediment sourced from two different-aged deposits. Our results provide both a new interpretation of late Quaternary deposition in Prydz Channel and support for previous studies in this region.</t>
  </si>
  <si>
    <t>Colgate Univ, Dept Geol, Hamilton, NY 13346 USA</t>
  </si>
  <si>
    <t>Colgate University</t>
  </si>
  <si>
    <t>Univ Tasmania, Inst Antarctic &amp; So Ocean Studies, GPO Box 252-77, Hobart, Tas 7001, Australia.</t>
  </si>
  <si>
    <t>Fiona.Taylor@utas.edu.au</t>
  </si>
  <si>
    <t>Leventer, Amy/0000-0001-9401-0987</t>
  </si>
  <si>
    <t>10.1017/S0954102003001639</t>
  </si>
  <si>
    <t>WOS:000187366600014</t>
  </si>
  <si>
    <t>Hillenbrand, CD; Ehrmann, W</t>
  </si>
  <si>
    <t>Palaeoenvironmental implications of tertiary sediments from Kainan Maru Seamount and northern Gunnerus Ridge</t>
  </si>
  <si>
    <t>Antarctica; Cenozoic; clay minerals; glaciation; grain sizes; Southern Ocean</t>
  </si>
  <si>
    <t>ANTARCTIC ICE-SHEET; SOUTHERN-OCEAN; SURFACE SEDIMENTS; WATER MASSES; CLAY; CLIMATE; EOCENE; SEA; CIRCULATION; ATLANTIC</t>
  </si>
  <si>
    <t>Sedimentary sequences spanning early Oligocene and Neogene time intervals were recovered with piston and gravity cores along erosional structures at northern Gunnerus Ridge and Kainan Maru Seamount in the southernmost Indian Ocean. Results of sedimentological investigations help to reconstruct the Cenozoic palaeoenvironment. Main emphasis was placed on grain size and clay mineral data. The clay mineral assemblages are dominated by illite and smectite. Chlorite and kaolinite occur in trace amounts. Whereas illite has a distinct source on the East Antarctic craton, smectite is of somewhat speculative origin, but probably is derived from erosion of Cenozoic or older shelf sediments. The presence of terrigenous sand indicates that ice-rafting was active throughout the time represented by the investigated cores, although with varying intensity. During the early Oligocene interval (30.1-29.0 Ma), siliceous phytoplankton production dominated sedimentation. Environmental conditions were quite different from those on Maud Rise and Kerguelen Plateau. The middle Miocene sedimentary sequence (14.1-12.8 Ma) documents an intensification of East Antarctic glaciation. The sediments deposited during the late Miocene interval (8.7-6.5 Ma) and the Pliocene interval (5.1-2.7 Ma) indicate continued cooling of Antarctica, but a more dynamic Antarctic ice sheet resulting in episodic sedimentation patterns.</t>
  </si>
  <si>
    <t>Alfred Wegener Inst Polar &amp; Marine Res, D-27515 Bremerhaven, Germany; Univ Leipzig, Inst Geol &amp; Geophys, D-04103 Leipzig, Germany</t>
  </si>
  <si>
    <t>Helmholtz Association; Alfred Wegener Institute, Helmholtz Centre for Polar &amp; Marine Research; Leipzig University</t>
  </si>
  <si>
    <t>Alfred Wegener Inst Polar &amp; Marine Res, POB 12 01 61, D-27515 Bremerhaven, Germany.</t>
  </si>
  <si>
    <t>chillenbrand@awi-bremerhaven.de</t>
  </si>
  <si>
    <t>10.1017/S0954102003001640</t>
  </si>
  <si>
    <t>WOS:000187366600015</t>
  </si>
  <si>
    <t>Giorgetti, A; Crise, A; Laterza, R; Perini, L; Rebesco, M; Camerlenghi, A</t>
  </si>
  <si>
    <t>Water masses and bottom boundary layer dynamics above a sediment drift of the Antarctic Peninsula Pacific Margin</t>
  </si>
  <si>
    <t>Bellingshausen Sea; bottom current; oceanography; sediment mound; turbulent Ekman layer</t>
  </si>
  <si>
    <t>CONTINENTAL RISE WEST; CIRCULATION; BELLINGSHAUSEN; SLOPE; CURRENTS; OCEAN; SEAS</t>
  </si>
  <si>
    <t>Data from eight CTD casts and two one-year long current time series collected at 8 and 60 m above the seafloor of a sediment drift, off the Pacific Margin of the Antarctic Peninsula are presented, with special emphasis on bottom boundary layer dynamics and processes relevant to sediment settling and resuspension. The water masses over the drift are characterized, including also a comparison with other measurements available from that region. The south-westward flow along the continental rise exhibits a strong topographic (bathymetric) control in the near-bottom current regime. A consistent mean flow deflection between an upper and lower current regime suggests that only the lower regime falls within a bottom (turbulent) Ekman layer. The bottom current regime is not energetic enough to maintain the coarse sediment fraction in suspension. The absence of evidence for a nepheloid layer justifies the assumption that most sediment was supplied to the margin during glacial periods. Two events, with peak velocities of up to 20 cm s(-1), are associated with barotropic eddies shown as negative (cyclonic) mean sea level anomalies detected by ERS/TOPEX satellite altimeters. These energetic bottom current pulses may give way to episodic sediment re-suspensions of the sortable (non-cohesive) part of the sediment, thus exerting a minor role in redistributing fine sediments through the mean flow regime.</t>
  </si>
  <si>
    <t>Ist Nazl Oceanog &amp; Geofis Sperimentale OGS, I-34010 Sgonico, Trieste, Italy</t>
  </si>
  <si>
    <t>Istituto Nazionale di Oceanografia e di Geofisica Sperimentale</t>
  </si>
  <si>
    <t>Giorgetti, A (corresponding author), Ist Nazl Oceanog &amp; Geofis Sperimentale OGS, Borgo Grotta Gigante 42-C, I-34010 Sgonico, Trieste, Italy.</t>
  </si>
  <si>
    <t>Camerlenghi, Angelo/O-1593-2013; Camerlenghi, Angelo/AAG-3852-2019; Camerlenghi, Angelo/C-8816-2011; Rebesco, Michele/B-7462-2014</t>
  </si>
  <si>
    <t>Camerlenghi, Angelo/0000-0002-8128-9533; Camerlenghi, Angelo/0000-0002-8128-9533; Rebesco, Michele/0000-0002-9492-4081; GIORGETTI, Alessandra/0000-0002-0914-4831; Crise, Alessandro/0000-0002-5183-3921</t>
  </si>
  <si>
    <t>10.1017/S0954102003001652</t>
  </si>
  <si>
    <t>WOS:000187366600016</t>
  </si>
  <si>
    <t>Reusch, D; Hughes, T</t>
  </si>
  <si>
    <t>Surface waves on Byrd Glacier, Antarctica</t>
  </si>
  <si>
    <t>East Antarctica; ice stream; outlet glacier; Ross embayment; unstable ice flow</t>
  </si>
  <si>
    <t>ICE-SHEET; BENEATH</t>
  </si>
  <si>
    <t>Byrd Glacier has one of the largest ice catchment areas in Antarctica, delivers more ice to the Ross Ice Shelf than any other ice stream, and is the fastest of these ice streams. A force balance, combined with a mass balance, demonstrates that stream flow in Byrd Glacier is transitional from sheet flow in East Antarctica to shelf flow in the Ross Ice Shelf. The longitudinal pulling stress, calculated along an ice flowband from the force balance, is linked to variations of ice thickness, to the ratio of the basal water pressure to the ice overburden pressure where Byrd Glacier is grounded, and is reduced by an ice-shelf buttressing stress where Byrd Glacier is floating. Longitudinal tension peaks at pressure-ratio maxima in grounded ice and close to minima in the ratio of the pulling stress to the buttressing stress in floating ice. The longitudinal spacing of these tension peaks is rather uniform and, for grounded ice, the peaks occur at maxima in surface slope that have no clear relation to the bed slope. This implies that the maxima in surface slope constitute a wave train that is related to regular variations in ice-bed coupling, not primarily to bed topography. It is unclear whether these surface waves are standing waves or are migrating either upslope or downslope, possibly causing the grounding line to either retreat or advance. Deciding which is the case will require obtaining bed topography in the map plane, a new map of surface topography, and more sophisticated modeling that includes ice flow linked to subglacial hydrology in the map plane.</t>
  </si>
  <si>
    <t>Univ Maine, Dept Nat Sci, Farmington, ME 04938 USA; Univ Maine, Dept Earth Sci, Climate Change Inst, Orono, ME 04473 USA</t>
  </si>
  <si>
    <t>University of Maine System; University of Maine Farmington; University of Maine Orono; University of Maine System; University of Maine Orono</t>
  </si>
  <si>
    <t>Univ Maine, Dept Nat Sci, 173 High St, Farmington, ME 04938 USA.</t>
  </si>
  <si>
    <t>10.1017/S0954102003001664</t>
  </si>
  <si>
    <t>WOS:000187366600017</t>
  </si>
  <si>
    <t>Adams, P</t>
  </si>
  <si>
    <t>Canada, the Antarctic and the Madrid Protocol</t>
  </si>
  <si>
    <t>ARCTIC</t>
  </si>
  <si>
    <t>ARCTIC INST N AMER</t>
  </si>
  <si>
    <t>CALGARY</t>
  </si>
  <si>
    <t>UNIV OF CALGARY 2500 UNIVERSITY DRIVE NW 11TH FLOOR LIBRARY TOWER, CALGARY, ALBERTA T2N 1N4, CANADA</t>
  </si>
  <si>
    <t>0004-0843</t>
  </si>
  <si>
    <t>Arctic</t>
  </si>
  <si>
    <t>III</t>
  </si>
  <si>
    <t>IV</t>
  </si>
  <si>
    <t>764FX</t>
  </si>
  <si>
    <t>WOS:000188197700001</t>
  </si>
  <si>
    <t>Ochyra, R; Bednarek-Ochyra, H; Smith, RIL</t>
  </si>
  <si>
    <t>Schistidium deceptionense, a new moss species from the South Shetland Islands, Antarctica</t>
  </si>
  <si>
    <t>BRYOLOGIST</t>
  </si>
  <si>
    <t>GRIMMIACEAE; REVISION; MUSCI</t>
  </si>
  <si>
    <t>Schistidium is the richest moss genus in the Antarctic consisting of twelve species, one of which, S. deceptionense Ochyra, Bednarek-Ochyra, &amp; Lewis Smith, is here described as new to science from the volcanic Deception Island in the South Shetland Islands archipelago in the northern maritime Antarctic. Its most peculiar diagnostic characters are strongly thickened walls of the exothecial cells; small, cupulate, and pachydermous capsules; and sinuouse laminal cells. In these features the new species shows the closest affinity to S. urnulaceum (Mull. Hal.) B. G. Bell, a South Georgian-Antarctic endemic, from which it can be distinguished by sharply keeled leaves, stout costae that are semi-terete in transverse section and strongly convex dorsally, bistratose leaf margins in 1-2 rows of cells forming bulging thickenings in the distal portion, shorter laminal cells, and larger spores. The relationships of S. deceptionense are discussed and the species is considered to belong to the Confertum group with which it shares pellucid alar region of the hyaline cells with the transverse walls much thicker than the longitudinal walls, narrow upper laminal cells, irregular and mostly strongly perforated peristome teeth, and yellow reaction of the upper leaves and leaf cells with KOH. A key to all species of Schistidium in the Antarctic is given.</t>
  </si>
  <si>
    <t>Polish Acad Sci, Inst Bot, PL-31512 Krakow, Poland; British Antarctic Survey, Cambridge CB3 0ET, England</t>
  </si>
  <si>
    <t>Polish Academy of Sciences; UK Research &amp; Innovation (UKRI); Natural Environment Research Council (NERC); NERC British Antarctic Survey</t>
  </si>
  <si>
    <t>Polish Acad Sci, Inst Bot, Ul Lubicz 46, PL-31512 Krakow, Poland.</t>
  </si>
  <si>
    <t>r.ochyra@ib-pan.krakow.pl; r.lewis-smith@bas.ac.uk</t>
  </si>
  <si>
    <t>Bednarek-Ochyra, Halina/K-7507-2012</t>
  </si>
  <si>
    <t>Ochyra, Ryszard/0000-0002-2541-0722; Bednarek-Ochyra, Halina/0000-0002-6994-8313</t>
  </si>
  <si>
    <t>AMER BRYOLOGICAL LICHENOLOGICAL SOC INC</t>
  </si>
  <si>
    <t>OMAHA</t>
  </si>
  <si>
    <t>C/O DR ROBERT S EGAN, SEC-TRES, ABLS, UNIV NEBRASKA OMAHA, DEPT BIOLOGY, OMAHA, NE 68182-0040 USA</t>
  </si>
  <si>
    <t>0007-2745</t>
  </si>
  <si>
    <t>1938-4378</t>
  </si>
  <si>
    <t>Bryologist</t>
  </si>
  <si>
    <t>WIN</t>
  </si>
  <si>
    <t>10.1639/0007-2745(2003)106[569:SDANMS]2.0.CO;2</t>
  </si>
  <si>
    <t>764KV</t>
  </si>
  <si>
    <t>WOS:000188206800009</t>
  </si>
  <si>
    <t>Cox, RA</t>
  </si>
  <si>
    <t>Chemical kinetics and atmospheric chemistry: Role of data evaluation</t>
  </si>
  <si>
    <t>CHEMICAL REVIEWS</t>
  </si>
  <si>
    <t>THERMAL UNIMOLECULAR REACTIONS; HYDROXYL-RADICAL KINETICS; COLLISION RATE CONSTANTS; GAS-PHASE REACTIONS; FALL-OFF RANGE; PHOTOCHEMICAL DATA; IUPAC SUBCOMMITTEE; ORGANIC-COMPOUNDS; ANTARCTIC OZONE; SELF-REACTION</t>
  </si>
  <si>
    <t>Cox, RA (corresponding author), Univ Cambridge, Dept Chem, Ctr Atmospher Sci, Lensfield Rd, Cambridge CB2 1EW, England.</t>
  </si>
  <si>
    <t>0009-2665</t>
  </si>
  <si>
    <t>CHEM REV</t>
  </si>
  <si>
    <t>Chem. Rev.</t>
  </si>
  <si>
    <t>10.1021/cr020648p</t>
  </si>
  <si>
    <t>753MQ</t>
  </si>
  <si>
    <t>WOS:000187235500003</t>
  </si>
  <si>
    <t>Gao, H; Xue, F; Wang, HJ</t>
  </si>
  <si>
    <t>Influence of interannual variability of Antarctic oscillation on mei-yu along the Yangtze and Huaihe River valley and its importance to prediction</t>
  </si>
  <si>
    <t>Antarctic oscillation; interannual variability; mei-yu; Antarctic sea ice</t>
  </si>
  <si>
    <t>SOUTHERN-HEMISPHERE; SUMMER RAINFALL; PRESSURE</t>
  </si>
  <si>
    <t>Both correlation analysis and case study indicate that Antarctic oscillation (AAO) is closely related with summer rainfall in eastern China. When AAO is stronger in boreal spring, especially in May, there is more mei-yu rainfall in summer with a longer period along the Yangtze and Huaihe River valley. In contrast, there is less rainfall with a shorter period corresponding to a weaker AAO. Besides, an anomalous AAO changes the position and intensity of several circulation systems, which are important to summer rainfall along the Yangtze and Huaihe River valley. Furthermore, the Antarctic sea ice is negatively correlated with the intensity of AAO with a 6-month leading time. The result in this study provides a new method for the prediction of mei-yu.</t>
  </si>
  <si>
    <t>Chinese Acad Sci, Inst Atmospher Phys, Beijing 100029, Peoples R China; Nanjing Inst Meteorol, Dept Atmospher Sci, Nanjing 210044, Peoples R China</t>
  </si>
  <si>
    <t>Chinese Academy of Sciences; Institute of Atmospheric Physics, CAS; Nanjing University of Information Science &amp; Technology</t>
  </si>
  <si>
    <t>Gao, H (corresponding author), Chinese Acad Sci, Inst Atmospher Phys, Beijing 100029, Peoples R China.</t>
  </si>
  <si>
    <t>gaohui@mail.iap.ac.cn</t>
  </si>
  <si>
    <t>10.1360/03wd0452</t>
  </si>
  <si>
    <t>835PP</t>
  </si>
  <si>
    <t>WOS:000222497000010</t>
  </si>
  <si>
    <t>Wang, PX; Zhao, QH; Jian, ZM; Cheng, XR; Huang, W; Tian, J; Wang, JL; Li, QY; Li, BH; Su, X</t>
  </si>
  <si>
    <t>Thirty million year deep-sea records in the South China Sea</t>
  </si>
  <si>
    <t>ODP leg 184; South China Sea; late cenozoic; climate changes; orbital cycles</t>
  </si>
  <si>
    <t>MIDPLEISTOCENE CLIMATE TRANSITION; ISOTOPE STRATIGRAPHY; MIOCENE; OXYGEN; MIDDLE; PACIFIC; EVOLUTION; CYCLES; OCEAN; PALEOCEANOGRAPHY</t>
  </si>
  <si>
    <t>In the spring of 1999 the Ocean Drilling Program (ODP) Leg 184 Shipboard Party cored 17 holes at 6 deep water sites in the northern and southern parts of the South China Sea (SCS). Chinese scientists actively participated in the entire process of this first deep-sea drilling leg off China, from proposal to post-cruise studies. More than 30 categories of analyses have been conducted post-cruise in various Chinese laboratories on a large number of core samples, and the total number of analyses exceeded 60 thousand. The major scientific achievements of the Leg 184 studies are briefly reported in three successive papers, with the first one presented here dealing with deep-sea stratigraphy and evolution of climate cycles. This ODP leg has established the best deep-sea stratigraphic sequences in the Western Pacific: the 23-Ma isotope sequence from the Dong-Sha area is unique worldwide because of its continuity; the last 5-Ma sequence from the Nansha area represents one of the best 4 ODP sites worldwide with the highest time-resolution for that time interval, and the sequences of physical properties enable a decadal-scale time resolution. All these together have provided for the first time high-quality marine records for paleoenvironmental studies in the Asian-Pacific region. This new set of stratigraphic records has revealed changes in climate cyclicity over the last 20 Ma with the fluctuating power of the 100 ka, 400 ka, 2000 ka eccentricity cycles, indicating the evolving response of the climate system to orbital forcing along with the growth of the Antarctic and Northern Hemisphere ice sheets.</t>
  </si>
  <si>
    <t>Tongji Univ, Minist Educ, Key Lab Marine Geol, Shanghai 200092, Peoples R China; Chinese Acad Sci, Nanjing Inst Geol &amp; Paleontol, Nanjing 210008, Peoples R China; China Univ Geosci, Beijing 100083, Peoples R China</t>
  </si>
  <si>
    <t>Tongji University; Chinese Academy of Sciences; Nanjing Institute of Geology &amp; Paleontology, CAS; China University of Geosciences</t>
  </si>
  <si>
    <t>Tongji Univ, Minist Educ, Key Lab Marine Geol, Shanghai 200092, Peoples R China.</t>
  </si>
  <si>
    <t>yi, cheng/KHC-5004-2024; Wang, Yifan/KDO-8319-2024</t>
  </si>
  <si>
    <t>10.1007/BF03037016</t>
  </si>
  <si>
    <t>756XL</t>
  </si>
  <si>
    <t>WOS:000187511000002</t>
  </si>
  <si>
    <t>García-Aguilar, MC; Aurioles-Gamboa, D</t>
  </si>
  <si>
    <t>Maternal care in the California sea lion at los islotes, Gulf of California, Mexico</t>
  </si>
  <si>
    <t>CIENCIAS MARINAS</t>
  </si>
  <si>
    <t>Spanish</t>
  </si>
  <si>
    <t>maternal care; California sea lion; Gulf of California</t>
  </si>
  <si>
    <t>ANTARCTIC FUR SEALS; ARCTOCEPHALUS-GAZELLA PUPS; GROWTH; MASS; INVESTMENT; ALLOCATION; BEHAVIOR; ISLAND; MILK</t>
  </si>
  <si>
    <t>Behavioural components of maternal assistance in the California sea lion at a small colony in the southern part of the Gulf of California were analyzed and compared between one year with normal environmental conditions (1996) and one influenced by El Nino (1998). The components considered were the frequency, duration, intensity and rate of lactation, and the frequency and duration of the feeding trips. The parameters employed to measure the intensity of the maternal investment were the weight, density and growth rate of the pups. No significant differences were found in both years between the weight of female and male pups, growth rate and body density; when comparing these parameters between the years, no significant differences were found either. In 1996, the daily lactation rate and the intensity decreased while the pups grew, but in 1998 the lactation rate remained constant and the intensity increased. The results indicate that the difference found in 1998 is probably due to the use of an alternative breeding strategy when the environmental conditions are poor. The duration of the feeding trips was significantly greater in 1998 than in 1996 (2.05 +/- 0.87 d and 1.3 +/- 0.60 d, respectively). For 1996, the estimation of the cycle duration (time of feeding trip + time of assistance in rookery) was 2.07 +/- 1.5 d. Two variables were associated with the growth rate of the pups: intensity of lactation and frequency of the feeding trips.</t>
  </si>
  <si>
    <t>CICIMAR IPN, Lab Ecol Mamiferos Marinos, Baja California Sur, Mexico</t>
  </si>
  <si>
    <t>García-Aguilar, MC (corresponding author), CICIMAR IPN, Lab Ecol Mamiferos Marinos, Av IPN S-N,Apto Postal 592, Baja California Sur, Mexico.</t>
  </si>
  <si>
    <t>INSTITUTO INVESTIGACIONES OCEANOLOGICAS, U A B C</t>
  </si>
  <si>
    <t>BAJA CALIFORNIA</t>
  </si>
  <si>
    <t>APARTADO POSTAL 423, ENSENADA, BAJA CALIFORNIA 22800, MEXICO</t>
  </si>
  <si>
    <t>0185-3880</t>
  </si>
  <si>
    <t>CIENC MAR</t>
  </si>
  <si>
    <t>Ceinc. Mar.</t>
  </si>
  <si>
    <t>4B</t>
  </si>
  <si>
    <t>10.7773/cm.v29i42.199</t>
  </si>
  <si>
    <t>753VT</t>
  </si>
  <si>
    <t>hybrid, Green Submitted</t>
  </si>
  <si>
    <t>WOS:000187251800001</t>
  </si>
  <si>
    <t>Johnston, IA</t>
  </si>
  <si>
    <t>Muscle metabolism and growth in Antarctic fishes (suborder Notothenioidei): evolution in a cold environment</t>
  </si>
  <si>
    <t>Symposium on Function of Marine Organisms: Mechanisms of Adaption to Diverse Environments</t>
  </si>
  <si>
    <t>FEB 22-23, 2003</t>
  </si>
  <si>
    <t>TOKYO, JAPAN</t>
  </si>
  <si>
    <t>metabolism; teleosts; skeletal muscle; antarctic fish; phylogeny; adaptive radiation; mitochondria; muscle growth; temperature adaptation; notothenioidei</t>
  </si>
  <si>
    <t>SKELETAL-MUSCLE; FIBER TYPES; CHAENOCEPHALUS-ACERATUS; SUBZERO TEMPERATURES; ADAPTIVE RADIATION; MYOGLOBIN GENE; POLAR FISH; TELEOST; MITOCHONDRIAL; ADAPTATION</t>
  </si>
  <si>
    <t>The radiation of notothenioid fishes (order Perciformes) in the Southern Ocean provides a model system for investigating evolution and adaptation to a low temperature environment. The Notothenioid fishes comprising eight families, 43 genera and 122 species dominate the fish fauna in Antarctica. The diversification of the clade probably began 15-20 million years ago after the formation of the Antarctic Polar Front. The radiation was, therefore, associated with climatic cooling down to the present day temperature of -1.86 degreesC. Origins and Evolution of the Antarctic Biota Geological Society Special Publication No. 47, Geological Society of London. pp. 253-268). The success of the group has been closely linked with the evolution of glycopeptide and peptide antifreezes, which are amongst the most abundant proteins in blood and interstitial fluid. The radiation of the clade has been associated with disaptation (evolutionary loss of function) and recovery. For example, it is thought that the icefishes (Channichyidae) lost haemoglobin through a single mutational event leading to the deletion of the entire P-globin gene and the 5' end of the linked (x-globin gene, resulting in compensatory adaptations of the cardiovascular system. Phylogenetically based statistical methods also indicate a progressive and dramatic reduction in the number of skeletal muscle fibres (FNmax) at the end of the recruitment phase of growth in basal compared to derived families. The reduction in FNmax is associated with a compensatory increase in the maximum fibre diameter, which can reach 100 mum in slow and 600 mum in fast muscle fibres. At -1 to 0 degreesC, the oxygen consumption of isolated mitochondria per mg mitochondrial protein shows no evidence of up-regulation relative to mitochondria from temperate and tropical Perciform. fishes. The mitochondria content of slow muscle fibres in Antarctic notothenioids is towards the upper end of the range reported for teleosts with similar lifestyles, reaching 50% in Channichthyids. High mitochondrial densities facilitate ATP production and oxygen diffusion through the membrane lipid compartment of the fibre. Modelling studies suggest that adequate oxygen flux in the large diameter muscle fibres of notothenioids is possible because of the reduced metabolic demand and enhanced solubility of oxygen associated with low temperature. At the whole animal level size-corrected resting metabolic rate fits on the same temperature relationship as for Perciformes from warmer climates. It seems likely that the additional energetic costs associated with antifreeze synthesis and high mitochondrial densities are compensated for by reductions in other energy requiring processes: a hypothesis that could be tested with detailed energy budget studies. One plausible candidate is a reduction in membrane leak pathways linked to the loss of muscle fibres, which would serve to minimise the cost of maintaining ionic gradients. (C) 2003 Elsevier Inc. All rights reserved.</t>
  </si>
  <si>
    <t>Univ St Andrews, Sch Biol, Gatty Marine Lab, St Andrews KY16 8LB, Fife, Scotland</t>
  </si>
  <si>
    <t>University of St Andrews</t>
  </si>
  <si>
    <t>Univ St Andrews, Sch Biol, Gatty Marine Lab, St Andrews KY16 8LB, Fife, Scotland.</t>
  </si>
  <si>
    <t>iaj@st-and.ac.uk</t>
  </si>
  <si>
    <t>Johnston, Ian A/D-6592-2013; Johnston, Ian A./AAE-2044-2019</t>
  </si>
  <si>
    <t>10.1016/S1096-4959(03)00258-6</t>
  </si>
  <si>
    <t>755AV</t>
  </si>
  <si>
    <t>WOS:000187366400010</t>
  </si>
  <si>
    <t>Bradner, JR; Bell, PJL; Te'o, VSJ; Nevalainen, KMH</t>
  </si>
  <si>
    <t>The application of PCR for the isolation of a lipase gene from the genomic DNA of an Antarctic microfungus</t>
  </si>
  <si>
    <t>CURRENT GENETICS</t>
  </si>
  <si>
    <t>lipase; Antarctic fungi; PCR</t>
  </si>
  <si>
    <t>CLONING; PURIFICATION; ESTERASE; ENZYMES; PRODUCT</t>
  </si>
  <si>
    <t>We successfully isolated a lipase gene (designated lipPA) directly from the genomic DNA of an Antarctic isolate of Penicillium allii using PCR and a suite of degenerate primers specifically designed to target two conserved regions of fungal lipase genes. We applied the biolistic transformation system to successfully integrate the lipPA gene into a heterologous fungal host, Trichoderma reesei, one of the most powerful secretors of extracellular proteins, and induced the transformant to secrete an active lipase into the growth medium. The recombinant lipase had a temperature optimum of 25 degreesC at pH 7.9 and retained greater than 50% of the maximum activity from 10 degreesC to 35 degreesC and over a pH range from 4.0 to 8.5.</t>
  </si>
  <si>
    <t>Macquarie Univ, Dept Biol Sci, Sydney, NSW 2109, Australia; Macquarie Univ, Microbiogen Pty Ltd, Sydney, NSW 2109, Australia</t>
  </si>
  <si>
    <t>Macquarie University; Macquarie University</t>
  </si>
  <si>
    <t>Macquarie Univ, Dept Biol Sci, Sydney, NSW 2109, Australia.</t>
  </si>
  <si>
    <t>rbradner@els.mq.edu.au</t>
  </si>
  <si>
    <t>Nevalainen, Helena/0000-0003-0083-4630; Teo, Valentino Setoa Junior/0000-0001-6460-8718</t>
  </si>
  <si>
    <t>0172-8083</t>
  </si>
  <si>
    <t>1432-0983</t>
  </si>
  <si>
    <t>CURR GENET</t>
  </si>
  <si>
    <t>Curr. Genet.</t>
  </si>
  <si>
    <t>10.1007/s00294-003-0440-1</t>
  </si>
  <si>
    <t>Genetics &amp; Heredity</t>
  </si>
  <si>
    <t>747UJ</t>
  </si>
  <si>
    <t>WOS:000186823000007</t>
  </si>
  <si>
    <t>Grünbaum, D; Veit, RR</t>
  </si>
  <si>
    <t>Black-browed albatrosses foraging on Antarctic krill:: Density-dependence through local enhancement?</t>
  </si>
  <si>
    <t>Allee effect; Antarctic krill; area-restricted search; Black-browed Albatross; density; dependence; Euphausial superba; foraging model; foraging strategy; local enhancement; South Georgia; Thalassarche melanophris</t>
  </si>
  <si>
    <t>ADVECTION-DIFFUSION EQUATIONS; EUPHAUSIA-SUPERBA; INTERFERENCE COMPETITION; SEABIRDS; STRATEGIES; PREY; DISTRIBUTIONS; AGGREGATION; INFORMATION; DISPERSION</t>
  </si>
  <si>
    <t>Many Antarctic seabirds depend on prey that are patchy, cryptic, ephemeral, and unpredictable in location. These predators typically employ two alternative behavioral strategies for locating resource patches: direct visual or olfactory detection, and indirect detection (local enhancement) by sighting other predators that are already exploiting a patch. We developed a model of direct detection and local enhancement in seabirds that predicts how foraging success varies with behavioral strategy, seabird densities, and prey swarm density and detectability. Application of the model to Black-browed Albatrosses foraging for Antarctic krill near South Georgia suggests that local enhancement is generally a highly effective foraging strategy, and that the fraction of time albatrosses spend in feeding flocks should show strong interactions between prey and conspecific densities. To test these predictions, we analyzed survey data collected near South Georgia in January-March 1986. Our analysis suggests a strong Allee-type density dependence in foraging success that was qualitatively and quantitatively consistent with model predictions. This density dependence suggests a potential for destabilizing patterns of resource utilization and reproductive success in Black-browed Albatrosses that may have important implications for conservation of albatrosses and other Antarctic species.</t>
  </si>
  <si>
    <t>Univ Washington, Sch Oceanog, Seattle, WA 98195 USA; CUNY Coll Staten Isl, Dept Biol, Staten Isl, NY 10314 USA</t>
  </si>
  <si>
    <t>University of Washington; University of Washington Seattle; City University of New York (CUNY) System; College of Staten Island (CUNY)</t>
  </si>
  <si>
    <t>grunbaum@ocean.washington.edu</t>
  </si>
  <si>
    <t>Grunbaum, Sergio/HNI-4530-2023</t>
  </si>
  <si>
    <t>Grunbaum, Sergio/0000-0003-2291-9192</t>
  </si>
  <si>
    <t>10.1890/01-4098</t>
  </si>
  <si>
    <t>762LN</t>
  </si>
  <si>
    <t>WOS:000187973500016</t>
  </si>
  <si>
    <t>Talley, DM; North, EW; Juhl, AR; Timothy, DA; Conde, D; deBrouwer, JFC; Brown, CA; Campbell, LM; Garstecki, T; Hall, CJ; Meysman, FJR; Nemerson, DM; Souza, PW; Wood, RJ</t>
  </si>
  <si>
    <t>Research challenges at the land-sea interface</t>
  </si>
  <si>
    <t>ESTUARINE COASTAL AND SHELF SCIENCE</t>
  </si>
  <si>
    <t>ECOSYSTEMS</t>
  </si>
  <si>
    <t>Univ Calif Davis, Dept Environm Sci &amp; Policy, Davis, CA 95616 USA; Univ Maryland, Ctr Environm Sci, Horn Point Environm Lab, Cambridge, MD 21613 USA; US EPA, Gulf Ecol Div, Gulf Breeze, FL 32561 USA; Fisheries Oceans Canada Inst Ocean Sci, Sidney, BC V8L 4B2, Canada; Univ Uruguay, Fac Sci, Limnol Sect, Montevideo 11400, Uruguay; Netherlands Inst Ecol, NL-4400 AC Yerseke, Netherlands; US EPA, Pacific Coast Ecol Branch, WED, Newport, OR 97365 USA; Environm Canada, CCIW, Burlington, ON L7R 4A6, Canada; British Antarctic Survey, Cambridge CB3 0ET, England; Natl Aquarium, Conservat Dept, Baltimore, MD 21202 USA; Fed Univ Para, Dept Geol, BR-66075 Belem, Para, Brazil; Univ Maryland, Chesapeake Biol Lab, Solomons, MD 20688 USA</t>
  </si>
  <si>
    <t>University of California System; University of California Davis; University System of Maryland; University of Maryland Center for Environmental Science; United States Environmental Protection Agency; Fisheries &amp; Oceans Canada; Universidad de la Republica, Uruguay; Royal Netherlands Academy of Arts &amp; Sciences; Netherlands Institute of Ecology (NIOO-KNAW); United States Environmental Protection Agency; Environment &amp; Climate Change Canada; UK Research &amp; Innovation (UKRI); Natural Environment Research Council (NERC); NERC British Antarctic Survey; Universidade Federal do Para; University System of Maryland; University of Maryland Center for Environmental Science</t>
  </si>
  <si>
    <t>Univ Calif Davis, Dept Environm Sci &amp; Policy, 1 Shields Ave, Davis, CA 95616 USA.</t>
  </si>
  <si>
    <t>dmtalley@ucdavis.edu</t>
  </si>
  <si>
    <t>Souza-Filho, Pedro Walfir M./J-4958-2012; North, Elizabeth W/F-9355-2013; Talley, Drew/M-7872-2019; Meysman, Filip JR/C-9585-2009; Souza, Pedro/GZH-1275-2022</t>
  </si>
  <si>
    <t>Souza-Filho, Pedro Walfir M./0000-0003-0252-808X; Meysman, Filip JR/0000-0001-5334-7655; Brown, Cheryl/0000-0003-1035-4251; Juhl, Andrew/0000-0002-1575-3756; conde, daniel/0000-0002-4088-0589</t>
  </si>
  <si>
    <t>ACADEMIC PRESS LTD- ELSEVIER SCIENCE LTD</t>
  </si>
  <si>
    <t>0272-7714</t>
  </si>
  <si>
    <t>1096-0015</t>
  </si>
  <si>
    <t>ESTUAR COAST SHELF S</t>
  </si>
  <si>
    <t>Estuar. Coast. Shelf Sci.</t>
  </si>
  <si>
    <t>10.1016/j.ecss.2003.08.010</t>
  </si>
  <si>
    <t>753TY</t>
  </si>
  <si>
    <t>WOS:000187247700001</t>
  </si>
  <si>
    <t>Alimenti, C; Ortenzi, C; Carratore, V; Luporini, P</t>
  </si>
  <si>
    <t>Cold-adapted Euplotes pheromones</t>
  </si>
  <si>
    <t>EUROPEAN JOURNAL OF PROTISTOLOGY</t>
  </si>
  <si>
    <t>4th European Congress of Protistology/10th European Conference on Ciliate Biology</t>
  </si>
  <si>
    <t>San Benedetto del Tronto, ITALY</t>
  </si>
  <si>
    <t>Antarctic biology; ciliates; Euplotes; molecular adaptation; pheromones; soluble signal proteins</t>
  </si>
  <si>
    <t>STRUCTURAL-CHARACTERIZATION; PROTEIN PHEROMONE; GLOBULAR-PROTEINS; ANTARCTIC CILIATE; RAIKOVI; ENZYMES; NOBILII; GENES; OCTOCARINATUS; ER-23</t>
  </si>
  <si>
    <t>Species of Euplotes rely on diffusible signal proteins (pheromones) to promote their mitotic reproduction and mating (sexual) phenomena. Two of these pheromones have recently been structurally characterized from an Antarctic species, E, nobilii, and their amino acid sequences (of 52 and 60 residues, and eight cysteines) were found to be closely related with those of E. raikovi pheromones of temperate waters. However, they diverge in physicochemical properties, such as a reduced hydrophobicity, an increased solvent accessibility and improved backbone flexibility, which together reflect their close adaptation to cold.</t>
  </si>
  <si>
    <t>Univ Camerino, Dipartimento Biol Mol Cellulare &amp; Anim, I-62032 Camerino, MC, Italy; CNR, Ist Biochim Prot &amp; Enzimol, I-80125 Naples, Italy</t>
  </si>
  <si>
    <t>University of Camerino; Consiglio Nazionale delle Ricerche (CNR); Istituto di Biochimica delle Proteine (IBP-CNR)</t>
  </si>
  <si>
    <t>Luporini, P (corresponding author), Univ Camerino, Dipartimento Biol Mol Cellulare &amp; Anim, I-62032 Camerino, MC, Italy.</t>
  </si>
  <si>
    <t>ORTENZI, Claudio/0000-0002-9051-4085; Alimenti, Claudio/0000-0003-2231-2948</t>
  </si>
  <si>
    <t>0932-4739</t>
  </si>
  <si>
    <t>1618-0429</t>
  </si>
  <si>
    <t>EUR J PROTISTOL</t>
  </si>
  <si>
    <t>Eur. J. Protistol.</t>
  </si>
  <si>
    <t>10.1078/0932-4739-00011</t>
  </si>
  <si>
    <t>800RO</t>
  </si>
  <si>
    <t>WOS:000220045600011</t>
  </si>
  <si>
    <t>Petz, W</t>
  </si>
  <si>
    <t>Ciliate biodiversity in Antarctic and Arctic freshwater habitats - a bipolar comparison</t>
  </si>
  <si>
    <t>ciliates; freshwater; biodiversity; Antarctica; high Arctic</t>
  </si>
  <si>
    <t>SOUTHERN VICTORIA-LAND; LAKES; PROTOZOA; PLANKTON</t>
  </si>
  <si>
    <t>Ciliate biodiversity and community composition was investigated in vivo and after silver impregnations in polar freshwater ecosystems in summer. In total, 334 species from at least 117 genera were found. 210 species (98 genera) occurred in the Arctic (Svalbard, 79degrees N), 120 spp. (73 genera) in the maritime Antarctic (Livingston Island, 63degreesS) and 59 spp. (41 genera) in the continental Antarctic (Victoria Land, 75degreesS). In Antarctica, however, freshwater ciliate communities are distinctly depauperized compared to those in the Arctic and species diversity decreases by about 5 spp./degrees latitude southwards, i.e. environmental conditions become more severe. While Litostomatea and Stichotrichia together comprised more than 40% of the species in all regions, a higher proportion of nassophorean (14%) and scuticociliate species (12%) occurred in the climatically more extreme Victoria Land than in the other locations. No colpodids were found in Victoria Land samples, while 9-12 species were found in Arctic and maritime Antarctic inland waters. Some genera, e.g.. Stentor, Trithigmostoma, as well as mixotrophic species were widespread in the Arctic but not found in the maritime or continental Antarctic, but cyanobacterivores reached their highest proportion (13%) furthest south. Comparisons with the ciliate faunas of terrestrial and marine biotopes showed that a separate limnetic coenosis exists in both polar regions.</t>
  </si>
  <si>
    <t>Umweltgutachten Petz, Ecol Consulting Off, A-5300 Hallwang, Austria; Salzburg Univ, Inst Zool, A-5020 Salzburg, Austria</t>
  </si>
  <si>
    <t>Salzburg University</t>
  </si>
  <si>
    <t>Petz, W (corresponding author), Umweltgutachten Petz, Ecol Consulting Off, Hallwanger Landesstr 32A, A-5300 Hallwang, Austria.</t>
  </si>
  <si>
    <t>wolfgang.petz@sbg.ac.at</t>
  </si>
  <si>
    <t>10.1078/0932-4739-00026</t>
  </si>
  <si>
    <t>WOS:000220045600026</t>
  </si>
  <si>
    <t>Turkiewicz, M; Pazgier, M; Kalinowska, H; Bielecki, S</t>
  </si>
  <si>
    <t>A cold-adapted extracellular serine proteinase of the yeast Leucosporidium antarcticum</t>
  </si>
  <si>
    <t>EXTREMOPHILES</t>
  </si>
  <si>
    <t>Antarctic; Leucosporidium antarcticum; psychrophile; subtilisin-like</t>
  </si>
  <si>
    <t>SP. NOV.; CRYPTOCOCCUS-ADELIAE; YARROWIA-LIPOLYTICA; SEA-ICE; PROTEASE; ENZYME; GENE; SUBTILISIN; SEQUENCE; CLONING</t>
  </si>
  <si>
    <t>An extracellular serine proteinase, lap2, from the psychrophilic antarctic yeast Leucosporidium antarcticum 171 was purified to homogeneity and characterized. The enzyme is a glycoprotein with a molecular mass of 34.4 kDa and an isoelectric point of pH 5.62. The proteinase is halotolerant, and its activity and stability are dependent neither on Ca2+ nor on other metal ions. Lap2 is a true psychrophilic enzyme because of low optimal temperature (25degreesC), poor thermal stability, relatively small values of free energy, enthalpy and entropy of activation, and high catalytic efficiency at 0-25degreesC. The 35 N-terminal amino acid residues of lap2 have homology with subtilases of the proteinase K subfamily (clan SB, family S8, subfamily C). The proteinase lap2 is the first psychrophilic subtilase in this family.</t>
  </si>
  <si>
    <t>Tech Univ Lodz, Inst Tech Biochem, PL-90924 Lodz, Poland</t>
  </si>
  <si>
    <t>Lodz University of Technology</t>
  </si>
  <si>
    <t>Tech Univ Lodz, Inst Tech Biochem, Stefanowskiego 4-10, PL-90924 Lodz, Poland.</t>
  </si>
  <si>
    <t>mtur@ck-sg.p.lodz.pl</t>
  </si>
  <si>
    <t>Pazgier, Marzena E/B-7295-2012</t>
  </si>
  <si>
    <t>Kalinowska, Halina/0000-0001-8902-0005; Bielecki, Stanislaw/0000-0003-2089-8623; Pazgier, Marzena/0000-0003-0594-5057</t>
  </si>
  <si>
    <t>CHIYODA FIRST BLDG EAST, 3-8-1 NISHI-KANDA, CHIYODA-KU, TOKYO, 101-0065, JAPAN</t>
  </si>
  <si>
    <t>1431-0651</t>
  </si>
  <si>
    <t>1433-4909</t>
  </si>
  <si>
    <t>Extremophiles</t>
  </si>
  <si>
    <t>10.1007/s00792-003-0340-9</t>
  </si>
  <si>
    <t>752JJ</t>
  </si>
  <si>
    <t>WOS:000187157100001</t>
  </si>
  <si>
    <t>Gidekel, M; Destefano-Beltrán, L; García, P; Mujica, L; Leal, P; Cuba, M; Fuentes, L; Bravo, LA; Corcuera, LJ; Alberdi, M; Concha, I; Gutiérrez, A</t>
  </si>
  <si>
    <t>Identification and characterization of three novel cold acclimation-responsive genes from the extremophile hair grass Deschampsia antarctica Desv.</t>
  </si>
  <si>
    <t>analysis; cold acclimation; Deschampsia antarctica; gene expression analysis</t>
  </si>
  <si>
    <t>CYTOSOLIC PYRUVATE-KINASE; CASTOR-OIL-PLANT; ARABIDOPSIS-THALIANA; PROTEIN-METABOLISM; FREEZING TOLERANCE; UBIQUITIN SYSTEM; VASCULAR PLANTS; GLUTAREDOXIN; EXPRESSION; CDNA</t>
  </si>
  <si>
    <t>Deschampsia antarctica Desv. is the only monocot that thrives in the harsh conditions of the Antarctic Peninsula and represents an invaluable resource for the identification of genes associated with freezing tolerance. In order to identify genes regulated by low temperature, we have initiated a detailed analysis of its gene expression. Preliminary 2-D gels of in vivo-labeled leaf proteins showed qualitative and quantitative differences between cold-acclimated and non-acclimated plants, suggesting differential gene expression. Similarly, cold-acclimation-related transcripts were screened by a differential display method. Of the 38 cDNAs initially identified, three cDNA clones were characterized for their protein encoding, expression pattern, response to several stresses, and for their tissue-specific expression. Northern blot analysis of DaGrx, DaRub1, and DaPyk1 encoding a glutaredoxin, a related-to-ubiquitin protein, and a pyruvate kinase-like protein, respectively, showed a distinct regulation pattern during the cold-acclimation process, and in some cases, their cold response seemed to be tissue specific. All three transcripts seem to be responsive to water stress as their levels were up-regulated with polyethyleneglycol treatment. DaRUB1 and DaPyk1 expression was up-regulated in leaf and crown, but down-regulated in roots from cold-acclimated plants. The significance of these results during the cold-acclimation process will be discussed.</t>
  </si>
  <si>
    <t>Univ La Frontera, Fac Ciencias Agropecuarias &amp; Forestales, Lab Fisol &amp; Biol Mol Vegetal, Temuco, Chile; Univ Concepcion, Fac Ciencias Nat, Dept Bot, Concepcion, Chile; Univ Austral Chile, Fac Ciencias, Inst Bot, Valdivia, Chile; Univ Austral Chile, Inst Bioquim, Valdivia, Chile</t>
  </si>
  <si>
    <t>Universidad de La Frontera; Universidad de Concepcion; Universidad Austral de Chile; Universidad Austral de Chile</t>
  </si>
  <si>
    <t>hgutier@ufro.cl</t>
  </si>
  <si>
    <t>Bravo, Leon/H-9251-2018; Bravo, León/AAO-8437-2020; Corcuera, Luis J/G-1714-2014; Garcia Munoz, Patricia Alejandra/L-1467-2014</t>
  </si>
  <si>
    <t>Bravo, Leon/0000-0003-4705-4842; Bravo, León/0000-0003-4705-4842; Garcia Munoz, Patricia Alejandra/0000-0002-3817-4896; Gidekel, Manuel/0000-0002-6770-4630</t>
  </si>
  <si>
    <t>10.1007/s00792-003-0345-4</t>
  </si>
  <si>
    <t>WOS:000187157100004</t>
  </si>
  <si>
    <t>Clark, MS; Edwards, YJK; Peterson, D; Clifton, SW; Thompson, AJ; Sasaki, M; Suzuki, Y; Kikuchi, K; Watabe, S; Kawakami, K; Sugano, S; Elgar, G; Johnson, SL</t>
  </si>
  <si>
    <t>Fugu ESTs:: New resources for transcription analysis and genome annotation</t>
  </si>
  <si>
    <t>GENOME RESEARCH</t>
  </si>
  <si>
    <t>EXPRESSED SEQUENCE TAGS; GENE-FINDING PROGRAMS; FULL-LENGTH CDNAS; DNA-SEQUENCE; IDENTIFICATION; DATABASE; MOUSE; PREDICTION; GENERATION; EVOLUTION</t>
  </si>
  <si>
    <t>The draft Fugu rubripes genome was released in 2002, at which time relatively few cDNAs were available to aid in the annotation of genes. The data presented here describe the sequencing and analysis of 24,398 expressed sequence tags (ESTs) generated from 15 different adult and juvenile Fugu tissues, 74% of which matched protein database entries. Analysis of the EST data compared with the Fugu genome data predicts that approximately 10,116 gene tags have been generated, covering almost one-third of Fugu predicted genes. This represents a remarkable economy of effort. Comparison with the Washington University zebrafish EST assemblies indicates strong conservation within fish species, but significant differences remain. This potentially represents divergence of sequence in the S' terminal exons and UTRs between these two fish species, although clearly, complete EST data sets are not available for either species. This project provides new Fugu resources, and the analysis adds significant weight to the argument that EST programs remain an essential resource for genome exploitation and annotation. This is particularly timely with the increasing availability of draft genome sequence from different organisms and the mounting emphasis on gene function and regulation.</t>
  </si>
  <si>
    <t>Univ Tokyo, Grad Sch Agr &amp; Life Sci, Fisheries Lab, Shizuoka 4310211, Japan; Univ Tokyo, Grad Sch Agr &amp; Life Sci, Lab Aquat Mol Biol &amp; Biotechnol, Tokyo 1138657, Japan; Natl Inst Genet, Div Mol &amp; Dev Biol, Shizuoka 4118540, Japan; Univ Tokyo, Inst Med Sci, Tokyo 1088639, Japan; Washington Univ, Sch Med, Dept Genet, St Louis, MO 63110 USA; MRC, Rosalind Franklin Ctr Genomics Res, Cambridge CB10 1SB, England</t>
  </si>
  <si>
    <t>University of Tokyo; University of Tokyo; Research Organization of Information &amp; Systems (ROIS); National Institute of Genetics (NIG) - Japan; University of Tokyo; Washington University (WUSTL)</t>
  </si>
  <si>
    <t>mscl@bas.ac.uk</t>
  </si>
  <si>
    <t>Kawakami, Koichi/AAF-1380-2019; Clark, Melody/D-7371-2014</t>
  </si>
  <si>
    <t>Clark, Melody/0000-0002-3442-3824; Edwards, Yvonne/0000-0001-8505-3168; Elgar, Greg/0000-0001-7323-1596</t>
  </si>
  <si>
    <t>NIDDK NIH HHS [DK55379] Funding Source: Medline</t>
  </si>
  <si>
    <t>NIDDK NIH HHS(United States Department of Health &amp; Human ServicesNational Institutes of Health (NIH) - USANIH National Institute of Diabetes &amp; Digestive &amp; Kidney Diseases (NIDDK))</t>
  </si>
  <si>
    <t>COLD SPRING HARBOR LAB PRESS, PUBLICATIONS DEPT</t>
  </si>
  <si>
    <t>COLD SPRING HARBOR</t>
  </si>
  <si>
    <t>1 BUNGTOWN RD, COLD SPRING HARBOR, NY 11724 USA</t>
  </si>
  <si>
    <t>1088-9051</t>
  </si>
  <si>
    <t>1549-5469</t>
  </si>
  <si>
    <t>GENOME RES</t>
  </si>
  <si>
    <t>Genome Res.</t>
  </si>
  <si>
    <t>10.1101/gr.1691503</t>
  </si>
  <si>
    <t>Biochemistry &amp; Molecular Biology; Biotechnology &amp; Applied Microbiology; Genetics &amp; Heredity</t>
  </si>
  <si>
    <t>749KZ</t>
  </si>
  <si>
    <t>Green Published, hybrid</t>
  </si>
  <si>
    <t>WOS:000186920200025</t>
  </si>
  <si>
    <t>Crozaz, G; Floss, C; Wadhwa, M</t>
  </si>
  <si>
    <t>Chemical alteration and REE mobilization in meteorites from hot and cold deserts</t>
  </si>
  <si>
    <t>TRACE-ELEMENT DISTRIBUTIONS; RARE-EARTH-ELEMENTS; ANGRA-DOS-REIS; AL GANI 400; PARENT BODY; ANTARCTIC SHERGOTTITE; MARTIAN METEORITE; MINERAL CHEMISTRY; BULK CHEMISTRY; UPPER-MANTLE</t>
  </si>
  <si>
    <t>The effects of terrestrial weathering on REE mobilization are evaluated for a variety of uncommon meteorites found in Antarctica and in hot deserts. The meteorites analyzed include 7 non-cumulate eucrites, 10 shergottites, 3 nakhlites, 2 lunar meteorites, 4 angrites, 10 acapulcoites, 1 winonaite, and 1 brachinite. In-situ concentration measurements of lanthanides and selected other minor and trace elements were made on individual grains by secondary ion mass spectrometry (SIMS). In Antarctic meteorites, oxidation converts Ce3+ to Ce4+, which is less soluble than the trivalent REE, resulting in Ce anomalies. The mineral most affected is low-Ca pyroxene. However, not all grains of a given mineral are, and distinct analyses of a single grain can even yield REE patterns with and without Ce anomalies. The effect is most pronounced for Antarctic eucrites in which Ce anomalies are observed not only in individual minerals but also in whole rock samples. Although Ce anomalies are observed in meteorites from hot deserts as well, the most characteristic signs of chemical alteration in this environment are a LREE enrichment with a typical crustal signature, as well as Sr, Ba and U contaminations. These can modify the whole rock REE patterns and disturb the isotope systematics used to date these objects. The LREE contamination is highly heterogeneous, affecting some grains and not others of a given mineral (mainly olivine and low-Ca pyroxene, the two minerals with the lowest REE concentrations). The major conduit for REE movement is through shock-induced cracks and defects, and the highest levels of contamination are found in altered material filling such veins and cracks. Meteorites that experienced low shock levels and those that are highly recrystallized are the least altered. Copyright (C) 2003 Elsevier Ltd.</t>
  </si>
  <si>
    <t>Washington Univ, Dept Earth &amp; Planetary Sci, St Louis, MO 63130 USA; Washington Univ, Space Sci Lab, St Louis, MO 63130 USA; Field Museum Nat Hist, Dept Geol, Chicago, IL 60605 USA</t>
  </si>
  <si>
    <t>Washington University (WUSTL); Washington University (WUSTL); Field Museum of Natural History (Chicago)</t>
  </si>
  <si>
    <t>Washington Univ, Dept Earth &amp; Planetary Sci, St Louis, MO 63130 USA.</t>
  </si>
  <si>
    <t>gcw@wuphys.wustl.edu</t>
  </si>
  <si>
    <t>10.1016/j.gca.2003.08.008</t>
  </si>
  <si>
    <t>754NQ</t>
  </si>
  <si>
    <t>WOS:000187323600006</t>
  </si>
  <si>
    <t>Floss, C; Crozaz, G; McKay, G; Mikouchi, T; Killgore, M</t>
  </si>
  <si>
    <t>Petrogenesis of angrites</t>
  </si>
  <si>
    <t>ANGRA-DOS-REIS; RARE-EARTH-ELEMENTS; PYROXENE; METEORITES; GEOCHEMISTRY; CONSTRAINTS; ABUNDANCES; CHONDRULES; STRONTIUM; OLIVINE</t>
  </si>
  <si>
    <t>The recent discovery of two new angrites, Sahara 99555 and D'Orbigny, has revived interest in this small group of achondrites. We measured trace element abundances in the individual minerals of these two angrites and compared them with the three Antarctic angrites, LEW 86010, LEW 87051 and Asuka 881371. Trace element variations in four of these meteorites (LEW 87051, Asuka 881371, Sahara 99555 and D'Orbigny) indicate rapid crystallization under near closed system conditions, consistent with their mineralogical and textural features. All four appear to be closely related and crystallized from very similar magmas. Discrepancies between their bulk REE compositions and melts calculated to be in equilibrium with the major phases may be due in part to kinetic effects of rapid crystallization. Prior crystallization of olivine and/or plagioclase may also account for the elevated parent melt composition of clinopyroxene in some of the angrites, such as Asuka 881371. LEW 86010 also crystallized from a melt and represents a liquid composition, but trace element trends in clinopyroxene and olivine differ from those of the other angrites. This meteorite seems to have crystallized from a different source magma. Copyright (C) 2003 Elsevier Ltd.</t>
  </si>
  <si>
    <t>Washington Univ, Space Sci Lab, St Louis, MO 63130 USA; Washington Univ, Dept Earth &amp; Planetary Sci, St Louis, MO 63130 USA; NASA, Lyndon B Johnson Space Ctr, Houston, TX 77058 USA; Univ Tokyo, Dept Earth &amp; Planetary Sci, Bunkyo Ku, Tokyo 1130033, Japan; SW Meteorite Lab, Payson, AZ 85547 USA</t>
  </si>
  <si>
    <t>Washington University (WUSTL); Washington University (WUSTL); National Aeronautics &amp; Space Administration (NASA); NASA Johnson Space Center; University of Tokyo</t>
  </si>
  <si>
    <t>Washington Univ, Space Sci Lab, St Louis, MO 63130 USA.</t>
  </si>
  <si>
    <t>floss@wuphys.wustl.edu</t>
  </si>
  <si>
    <t>Mikouchi, Takashi/AAY-7355-2021; McKay, Gareth/HNJ-3797-2023</t>
  </si>
  <si>
    <t>Mikouchi, Takashi/0000-0002-9998-8754</t>
  </si>
  <si>
    <t>10.1016/S0016-7037(03)00310-7</t>
  </si>
  <si>
    <t>WOS:000187323600009</t>
  </si>
  <si>
    <t>Thomas, C; Livermore, R; Pollitz, F</t>
  </si>
  <si>
    <t>Motion of the Scotia Sea plates</t>
  </si>
  <si>
    <t>inversion; plate motion; Scotia Sea</t>
  </si>
  <si>
    <t>EARTHQUAKE SOURCE PARAMETERS; SLIP VECTORS; RIDGE; TECTONICS; BOUNDARY; AMERICA; ISLANDS; REGION; ZONES</t>
  </si>
  <si>
    <t>Earthquake data from the Scotia Arc to early 2002 are reviewed in the light of satellite gravity and other data in order to derive a model for the motion of plates in the Scotia Sea region. Events with magnitude greater than or equal to5, which occurred on or near the boundaries of the Scotia and Sandwich plates, and for which Centroid Moment Tensor (CMT) solutions are available, are examined. The newer data fill some of the previous sampling gaps along the boundaries of the Scotia and Sandwich plates, and provide tighter constraints on relative motions. Variations in the width of the Brunhes anomaly on evenly spaced marine magnetic profiles over the East Scotia Ridge provide new estimates of Scotia-Sandwich plate spreading rates. Since there are no stable fracture zones in the east Scotia Sea, the mean azimuth of sea floor fabric mapped by sidescan is used to constrain the direction of spreading. 18 newrate estimates and four azimuths from the East Scotia Ridge are combined with 68 selected earthquake slip vectors from the boundaries of the Scotia Sea in a least-squares inversion for the best-fitting set of Euler poles and angular rotation rates describing the 'present-day' motions of the Scotia and Sandwich plates relative to South America and Antarctica. Our preferred model (TLP2003) gives poles that are similar to previous estimates, except for Scotia Plate motion with respect to South America, which is significantly different from earlier estimates; predicted rates of motion also differ slightly. Our results are much more robust than earlier work. We examine the implications of the model for motion and deformation along the various plate boundaries, with particular reference to the North and South Scotia Ridges, where rates are obtained by closure.</t>
  </si>
  <si>
    <t>Univ Liverpool, Dept Earth Sci, Liverpool L69 3GP, Merseyside, England; British Antarctic Survey, Cambridge CB3 0ET, England; US Geol Survey, Menlo Pk, CA 94025 USA</t>
  </si>
  <si>
    <t>University of Liverpool; UK Research &amp; Innovation (UKRI); Natural Environment Research Council (NERC); NERC British Antarctic Survey; United States Department of the Interior; United States Geological Survey</t>
  </si>
  <si>
    <t>Univ Liverpool, Dept Earth Sci, 4 Brownlow St, Liverpool L69 3GP, Merseyside, England.</t>
  </si>
  <si>
    <t>Thomas, Christine/0000-0002-7845-5385</t>
  </si>
  <si>
    <t>10.1111/j.1365-246X.2003.02069.x</t>
  </si>
  <si>
    <t>747HJ</t>
  </si>
  <si>
    <t>WOS:000186798900004</t>
  </si>
  <si>
    <t>Robinson, SA; Wasley, J; Tobin, AK</t>
  </si>
  <si>
    <t>Living on the edge - plants and global change in continental and maritime Antarctica</t>
  </si>
  <si>
    <t>GLOBAL CHANGE BIOLOGY</t>
  </si>
  <si>
    <t>climate change; nutrients; ozone hole; temperature; UV-radiation; water relations</t>
  </si>
  <si>
    <t>UV-B RADIATION; CHLOROPHYLL-A FLUORESCENCE; RECENT TEMPERATURE TRENDS; CARBON-DIOXIDE EXCHANGE; NORTHERN VICTORIA-LAND; ICE-FREE AREAS; ULTRAVIOLET-RADIATION; VASCULAR PLANTS; COLOBANTHUS-QUITENSIS; OZONE DEPLETION</t>
  </si>
  <si>
    <t>Antarctic terrestrial ecosystems experience some of the most extreme growth conditions on Earth and are characterized by extreme aridity and subzero temperatures. Antarctic vegetation is therefore at the physiological limits of survival and, as a consequence, even slight changes to growth conditions are likely to have a large impact, rendering Antarctic terrestrial communities sensitive to climate change. Climate change is predicted to affect the high-latitude regions first and most severely. In recent decades, the Antarctic has undergone significant environmental change, including the largest increases in ultraviolet-B (UV-B; 290-320 nm) radiation levels in the world and, in the maritime region at least, significant temperature increases. This review describes the current evidence for environmental change in Antarctica, and the impacts of this change on the terrestrial vegetation. This is largely restricted to cryptogams, such as bryophytes, lichens and algae; only two vascular plant species occur in the Antarctic, both restricted to the maritime region. We review the range of ecological and physiological consequences of increasing UV-B radiation levels, and of changes in temperature, water relations and nutrient availability. It is clear that climate change is already affecting the Antarctic terrestrial vegetation, and significant impacts are likely to continue in the future. We conclude that, in order to gain a better understanding of the complex dynamics of this important system, there is a need for more manipulative, long-term field experiments designed to address the impacts of changes in multiple abiotic factors on the Antarctic flora.</t>
  </si>
  <si>
    <t>Univ Wollongong, Inst Conservat Biol, Wollongong, NSW 2522, Australia; Univ St Andrews, Sch Biol, Plant Sci Lab, St Andrews KY16 9TH, Fife, Scotland</t>
  </si>
  <si>
    <t>University of Wollongong; University of St Andrews</t>
  </si>
  <si>
    <t>Univ Wollongong, Inst Conservat Biol, Northfields Ave, Wollongong, NSW 2522, Australia.</t>
  </si>
  <si>
    <t>Robinson, Sharon/B-2683-2008; Wasley, Jane/KHX-4880-2024</t>
  </si>
  <si>
    <t>Robinson, Sharon/0000-0002-7130-9617; Wasley, Jane/0000-0001-9379-664X</t>
  </si>
  <si>
    <t>1354-1013</t>
  </si>
  <si>
    <t>1365-2486</t>
  </si>
  <si>
    <t>GLOBAL CHANGE BIOL</t>
  </si>
  <si>
    <t>Glob. Change Biol.</t>
  </si>
  <si>
    <t>10.1046/j.1365-2486.2003.00693.x</t>
  </si>
  <si>
    <t>Biodiversity Conservation; Ecology; Environmental Sciences</t>
  </si>
  <si>
    <t>753XZ</t>
  </si>
  <si>
    <t>WOS:000187274800001</t>
  </si>
  <si>
    <t>Convey, P; Block, W; Peat, HJ</t>
  </si>
  <si>
    <t>Soil arthropods as indicators of water stress in Antarctic terrestrial habitats?</t>
  </si>
  <si>
    <t>Acari; body water content; climate trends; Collembola; Diptera; seasonal variation; soil arthropods</t>
  </si>
  <si>
    <t>EXPERIMENTAL TEMPERATURE ELEVATION; SIMULATED CLIMATE-CHANGE; CRYPTOPYGUS-ANTARCTICUS; ALASKOZETES-ANTARCTICUS; COLD TOLERANCE; LIFE-CYCLE; COLLEMBOLAN; SURVIVAL; MITE; INVERTEBRATES</t>
  </si>
  <si>
    <t>Abiotic features of Antarctic terrestrial habitats, particularly low temperatures and limited availability of liquid water, strongly influence the ecophysiology and life histories of resident biota. However, while temperature regimes of a range of land microhabitats are reasonably well characterized, much less is known of patterns of soil water stress, as current technology does not allow measurement at the required scale. An alternative approach is to use the water status of individual organisms as a proxy for habitat water status and to sample over several years from a population to identify seasonal or long-term patterns. This broad generalization for terrestrial invertebrates was tested on arthropods in the maritime Antarctic. We present analyses of a long-term data set of body water content generated by monthly sampling for 8-11 years of seven species of soil arthropods (four species of Acari, two Collembola and one Diptera) on maritime Antarctic Signy Island, South Orkney Islands. In all species, there was considerable within- and between-sample variability. Despite this, clear seasonal patterns were present in five species, particularly the two collembolans and a prostigmatid mite. Analyses of monthly water content trends across the entire study period identified several statistically significant trends of either increase or decrease in body water content, which we interpret in the context of regional climate change. The data further support the separation of the species into two groups as follows: firstly, the soft-bodied Collembola and Prostigmata, with limited cuticular sclerotization, which are sensitive to changes in soil moisture and are potentially rapid sensors of microhabitat water status, secondly, more heavily sclerotized forms such as Cryptostigmata (=Oribatida) and Mesostigmata mites, which are much less sensitive and responsive to short-term fluctuations in soil water availability. The significance of these findings is discussed and it is concluded that annual cycles of water content were driven by temperature, mediated via radiation and precipitation, and constituted reliable indicators of habitat moisture regimes. However, detailed ecophysiological studies are required on particular species before such information can be used to predict over long timescales.</t>
  </si>
  <si>
    <t>p.convey@bas.ac.uk</t>
  </si>
  <si>
    <t>Peat, Helen J/E-9666-2015; Convey, Peter/AAV-5728-2020</t>
  </si>
  <si>
    <t>Convey, Peter/0000-0001-8497-9903; Peat, Helen/0000-0003-2017-8597</t>
  </si>
  <si>
    <t>10.1046/j.1365-2486.2003.00691.x</t>
  </si>
  <si>
    <t>WOS:000187274800002</t>
  </si>
  <si>
    <t>Moysey, S; Davis, SN; Zreda, M; Cecil, LD</t>
  </si>
  <si>
    <t>The distribution of meteoric 36Cl/Cl in the United States:: a comparison of models</t>
  </si>
  <si>
    <t>HYDROGEOLOGY JOURNAL</t>
  </si>
  <si>
    <t>ANTARCTIC METEORITES; CHLORINE 36; GROUNDWATER; ICE; DEPOSITION; AQUIFER; FALLOUT; DESERT; BASIN</t>
  </si>
  <si>
    <t>The natural distribution of Cl-36/Cl in groundwater across the continental United States has recently been reported by Davis et al. (2003). In this paper, the large-scale processes and atmospheric sources of Cl-36 and chloride responsible for controlling the observed Cl-36/Cl distribution are discussed. The dominant process that affects Cl-36/Cl in meteoric groundwater at the continental scale is the fallout of stable chloride from the atmosphere, which is mainly derived from oceanic sources. Atmospheric circulation transports marine chloride to the continental interior, where distance from the coast, topography, and wind patterns define the chloride distribution. The only major deviation from this pattern is observed in northern Utah and southern Idaho where it is inferred that a continental source of chloride exists in the Bonneville Salt Flats, Utah. In contrast to previous studies, the atmospheric flux of Cl-36 to the land surface was found to be approximately constant over the United States, without a strong correlation between local Cl-36 fallout and annual precipitation. However, the correlation between these variables was significantly improved (R-2=0.15 to R-2=0.55) when data from the southeastern USA, which presumably have lower than average atmospheric Cl-36 concentrations, were excluded. The total mean flux of Cl-36 over the continental United States and total global mean flux of Cl-36 are calculated to be 30.5+/-7.0 and 19.6+/-4.5 atoms m(-2) s(-1), respectively. The Cl-36/Cl distribution calculated by Bentley et al. (1986) underestimates the magnitude and variability observed for the measured Cl-36/Cl distribution across the continental United States. The model proposed by Hainsworth (1994) provides the best overall fit to the observed Cl-36/Cl distribution in this study. A process-oriented model by Phillips (2000) generally overestimates Cl-36/Cl in most parts of the country and has several significant local departures from the empirical data.</t>
  </si>
  <si>
    <t>Univ Arizona, Dept Hydrol &amp; Water Resources, Tucson, AZ 85721 USA; US Geol Survey, Idaho Falls, ID 83402 USA</t>
  </si>
  <si>
    <t>University of Arizona; United States Department of Energy (DOE); Idaho National Laboratory; United States Department of the Interior; United States Geological Survey</t>
  </si>
  <si>
    <t>Stanford Univ, Dept Geophys, Stanford, CA 94305 USA.</t>
  </si>
  <si>
    <t>moysey@pangea.stanford.edu</t>
  </si>
  <si>
    <t>Moysey, Stephen/H-4658-2012</t>
  </si>
  <si>
    <t>1431-2174</t>
  </si>
  <si>
    <t>1435-0157</t>
  </si>
  <si>
    <t>HYDROGEOL J</t>
  </si>
  <si>
    <t>Hydrogeol. J.</t>
  </si>
  <si>
    <t>10.1007/s10040-003-0287-z</t>
  </si>
  <si>
    <t>Geosciences, Multidisciplinary; Water Resources</t>
  </si>
  <si>
    <t>Geology; Water Resources</t>
  </si>
  <si>
    <t>752DQ</t>
  </si>
  <si>
    <t>WOS:000187132100002</t>
  </si>
  <si>
    <t>Grove, TJ; Hendrickson, JW; Sidell, BD</t>
  </si>
  <si>
    <t>Pattern of cardiac myoglobin expression among all known species of Antarctic icefishes</t>
  </si>
  <si>
    <t>INTEGRATIVE AND COMPARATIVE BIOLOGY</t>
  </si>
  <si>
    <t>Annual Meeting of the Society-for-Integrative-and-Comparative-Biology</t>
  </si>
  <si>
    <t>New Orleans, LA</t>
  </si>
  <si>
    <t>Univ Maine, Orono, ME 04469 USA</t>
  </si>
  <si>
    <t>SOC INTEGRATIVE COMPARATIVE BIOLOGY</t>
  </si>
  <si>
    <t>MCLEAN</t>
  </si>
  <si>
    <t>1313 DOLLEY MADISON BLVD, NO 402, MCLEAN, VA 22101 USA</t>
  </si>
  <si>
    <t>1540-7063</t>
  </si>
  <si>
    <t>INTEGR COMP BIOL</t>
  </si>
  <si>
    <t>Integr. Comp. Biol.</t>
  </si>
  <si>
    <t>831ZI</t>
  </si>
  <si>
    <t>WOS:000222235200587</t>
  </si>
  <si>
    <t>Lund, SG; Whitmer, AC; Hofmann, GE</t>
  </si>
  <si>
    <t>A PCR-based approach to examining the loss of inducible heat-shock protein expression in an Antarctic fish.</t>
  </si>
  <si>
    <t>Univ Calif Santa Barbara, Santa Barbara, CA 93106 USA</t>
  </si>
  <si>
    <t>University of California System; University of California Santa Barbara</t>
  </si>
  <si>
    <t>WOS:000222235200647</t>
  </si>
  <si>
    <t>McClintock, JB; Amsler, CD; Baker, BJ; Van Soest, R</t>
  </si>
  <si>
    <t>The ecology of Antarctic marine sponges</t>
  </si>
  <si>
    <t>Univ Alabama, Birmingham, AL USA; Univ S Florida, Tampa, FL 33620 USA</t>
  </si>
  <si>
    <t>University of Alabama System; University of Alabama Birmingham; State University System of Florida; University of South Florida</t>
  </si>
  <si>
    <t>Baker, Bill/N-4312-2019</t>
  </si>
  <si>
    <t>WOS:000222235200751</t>
  </si>
  <si>
    <t>Pace, DA; Maxson, RE; Manahan, DT</t>
  </si>
  <si>
    <t>High rates of protein synthesis and rapid ribosomal transit times at low energy cost in Antarctic echinoderm embryos</t>
  </si>
  <si>
    <t>Univ So Calif, Los Angeles, CA 90089 USA</t>
  </si>
  <si>
    <t>University of Southern California</t>
  </si>
  <si>
    <t>WOS:000222235201102</t>
  </si>
  <si>
    <t>LeMasurier, WE; Futa, K; Hole, M; Kawachi, Y</t>
  </si>
  <si>
    <t>Polybaric evolution of phonolite, trachyte, and rhyolite volcanoes in eastern Marie Byrd Land, Antarctica: Controls on peralkalinity and silica saturation</t>
  </si>
  <si>
    <t>INTERNATIONAL GEOLOGY REVIEW</t>
  </si>
  <si>
    <t>EXECUTIVE-COMMITTEE RANGE; MANTLE-PLUME ACTIVITY; WEST ANTARCTICA; NEW-ZEALAND; TRACE-ELEMENT; MAGMA GENESIS; INDIAN-OCEAN; MOUNT SIDLEY; ROSS ISLAND; RIFT SYSTEM</t>
  </si>
  <si>
    <t>In the Marie Byrd Land volcanic province, peralkaline and metaluminous trachytes, phonolites, and rhyolites occur in 1.8 large shield volcanoes that are closely associated in time and space. They are arrayed radially across an 800 km wide structural dome, with the oldest at the crest and the youngest around the flanks. Several lines of evidence suggest that these rocks evolved via open-system, polybaric fractionation. We have used mass balance modeling of major elements together with trace-element data and mineral chemistry to help explain the evolution of this diverse suite of felsic rocks, which appear to have been generated coevally in isolated magma chambers, and erupted close to each other in patterns related to tectonic uplift and extension within the West Antarctic rift system. Isotopic and trace-element data indicate that this occurred with only minimal crustal contamination. We focus on volcanoes of the Executive Committee Range and Mount Murphy, Where we find good representation of basalts and felsic rocks within a small area. Our results suggest that the felsic rocks were derived from basaltic magmas that differentiated at multiple levels during their passage to the surface: first to ferrogabbroic compositions near the base of the lithosphere, then to intermediate compositions near the base of the crust, and finally to felsic compositions in mid- to upper crustal reservoirs. The high-pressure history has been largely masked by low-pressure processes. The best indications of a high-pressure history are the mineral phases in cumulate nodules and their correlation with modeling results, with REE anomalies, and with the composition of an unusual gabbroic intrusion. Silica saturation characteristics are believed to have originated in magma chambers near the base of the crust, via fractionation of variable proportions of kaersutite and plagioclase. Development of peralkalinity in felsic rocks took place in upper crustal reservoirs by fractionating a high ratio of plagioclase to clinopyroxene under conditions of low pH(2)O. With increasing pH(2)O, the ratio plagioclase/clinopyroxene in the fractionated assemblage decreases and metaluminous liquids resulted. Crustal contamination seems to have had a role in suppressing peralkalinity, and was probably a factor in the origin of high-silica metaluminous rhyolite, but metaluminous rocks are uncommon. The volume and diversity of felsic rocks were probably enhanced by the structure of the lithosphere, the persistence of plume activity, and the immobility of the Antarctic plate. Mechanical boundaries at the base of the lithosphere and crust, and within the crust, appear to have acted as filters, trapping magmas at multiple levels, and prolonging the fractionation process. Final volumes would have been further enhanced by repeated refluxing of the same magma chambers, controlled by plume activity and plate immobility.</t>
  </si>
  <si>
    <t>Univ Colorado, Dept Geol, Denver, CO 80217 USA; US Geol Survey, Denver Fed Mail Ctr, Lakewood, CO 80225 USA; Univ Aberdeen, Dept Geol &amp; Petr Geol, Aberdeen AB9 2UE, Scotland; Univ Otago, Dunedin, New Zealand</t>
  </si>
  <si>
    <t>University of Colorado System; University of Colorado Denver; United States Department of the Interior; United States Geological Survey; University of Aberdeen; University of Otago</t>
  </si>
  <si>
    <t>LeMasurier, WE (corresponding author), Univ Colorado, Dept Geol, POB 173364,NC 3621, Denver, CO 80217 USA.</t>
  </si>
  <si>
    <t>Hole, Malcolm/0000-0002-1622-4266</t>
  </si>
  <si>
    <t>V H WINSTON &amp; SON INC</t>
  </si>
  <si>
    <t>PALM BEACH</t>
  </si>
  <si>
    <t>360 SOUTH OCEAN BLVD, PH-B, PALM BEACH, FL 33480 USA</t>
  </si>
  <si>
    <t>0020-6814</t>
  </si>
  <si>
    <t>INT GEOL REV</t>
  </si>
  <si>
    <t>Int. Geol. Rev.</t>
  </si>
  <si>
    <t>10.2747/0020-6814.45.12.1055</t>
  </si>
  <si>
    <t>754XY</t>
  </si>
  <si>
    <t>WOS:000187359800001</t>
  </si>
  <si>
    <t>Sturaro, G</t>
  </si>
  <si>
    <t>Patterns of variability in the satellite microwave sounding unit temperature record: Comparison with surface and reanalysis data</t>
  </si>
  <si>
    <t>global temperature; climate change; microwave sounding unit; reanalysis; principal component analysis</t>
  </si>
  <si>
    <t>AIR-TEMPERATURE; TIME-SERIES; TROPOSPHERIC TEMPERATURES; RADIOSONDE VALIDATION; NCEP/NCAR REANALYSIS; NORTHERN-HEMISPHERE; GLOBAL TEMPERATURE; CLIMATE-CHANGE; SEA-SURFACE; EL-NINO</t>
  </si>
  <si>
    <t>Principal component analysis is applied to global temperature records to study the differences in the patterns of variability between surface and troposphere. Surface, Microwave Sounding Unit (lower troposphere, channel 2 and channel 4) and National Centers for Environmental Prediction-National Center for Atmospheric Research reanalysis thickness data are studied in the common period 1979-2000. The patterns of variability are classified into geographical regions and compared. The series of their time coefficients are correlated to assess the existence of common and significant climate change signals in the form of climatic trends. The objective is to identify the physical processes determining the records' variations and the differences between the surface and the satellite records that might be related to the discrepancy in their globally averaged trend. Major differences were found in the Tropics, where the surface warming is not paralleled in any other record. The surface record has two major patterns over the Tropics, one of which is connected to El Ni (n) over tildeo-southern oscillation. Satellite variability is instead described by only one pattern, most probably deriving from the merging of the two distinct patterns found for the near-surface records. In the eastern Antarctic a higher troposphere and lower stratosphere negative trend is found connected to ozone depletion. This signal prevails in the satellite record, despite evidence that it is confined only above 500 hPa. A pattern over Siberia is linked to the 'Euro-Siberian oscillation', i.e. the change in the pressure field determining the tracks of the Atlantic storms over the area Copyright (C) 2003 Royal Meteorological Society.</t>
  </si>
  <si>
    <t>CNR, Inst Atmospher Sci &amp; Climate, Padua, Italy</t>
  </si>
  <si>
    <t>Sturaro, G (corresponding author), Programma Ambiente SRL, Via Austria 25, I-35127 Padua, Italy.</t>
  </si>
  <si>
    <t>giovanni.sturaro@programma-ambiente.it</t>
  </si>
  <si>
    <t>1097-0088</t>
  </si>
  <si>
    <t>10.1002/joc.975</t>
  </si>
  <si>
    <t>760QH</t>
  </si>
  <si>
    <t>WOS:000187844900001</t>
  </si>
  <si>
    <t>Marshall, GJ</t>
  </si>
  <si>
    <t>Trends in the southern annular mode from observations and reanalyses</t>
  </si>
  <si>
    <t>NCEP-NCAR REANALYSIS; LOW-FREQUENCY VARIABILITY; EXTRATROPICAL CIRCULATION; SURFACE-TEMPERATURE; CLIMATE-CHANGE; ANNUAL CYCLE; HEMISPHERE; OSCILLATION; ANOMALIES; PRESSURE</t>
  </si>
  <si>
    <t>Several papers have described a significant trend toward the positive phase of the Southern Hemisphere annular mode (SAM) in recent decades. The SAM is the dominant mode of atmospheric variability in the Southern Hemisphere (SH) so such a change implies a major shift in the broadscale climate of this hemisphere. However, the majority of these studies have used NCEP - NCAR reanalysis (NNR) data, which are known to have spurious negative trends in SH high-latitude pressure. Thus, given that the SAM describes the relative atmospheric anomalies at mid-and high southern latitudes, these errors in the NNR data have the potential to invalidate the published findings on changes in the SAM. Therefore, it is important that a true'' benchmark of trends in the SAM is available against which future climate scenarios as revealed through climate models can be examined. In this paper this issue is addressed by employing an empirical definition of the SAM so that station data can be utilized to evaluate true temporal changes: six stations are used to calculate a proxy zonal mean sea level pressure (MSLP) at both 408 and 658S during 1958 - 2000. The observed increase in the difference in zonal MSLP between 408 ( increasing) and 658S ( decreasing) is shown to be statistically significant, with the trend being most pronounced since the mid-1970s. However, it is demonstrated that calculated trends in the MSLP difference between 408 and 658S and the SAM itself are exaggerated by a factor of 3 and 2, respectively, in the NNR. The SH high-latitude errors in the early part of this reanalysis are greatest in winter as are subsequent improvements. As a result, the NNR shows the greatest seasonal trend in the SAM to be in the austral winter, in marked contrast to observational data, which reveal the largest real increase to be in summer. Equivalent data from two ECMWF reanalyses, including part of the new ERA-40 reanalysis, are also examined. It is demonstrated that ERA-40 provides an improved representation of SH high-latitude atmospheric circulation variability that can be used with high confidence at least as far back as 1973 - and is therefore ideal for examining the recent trend in the SAM - and with more confidence than the NNR right back to 1958.</t>
  </si>
  <si>
    <t>Marshall, GJ (corresponding author), British Antarctic Survey, NERC, Madingley Rd, Cambridge CB3 0ET, England.</t>
  </si>
  <si>
    <t>10.1175/1520-0442(2003)016&lt;4134:TITSAM&gt;2.0.CO;2</t>
  </si>
  <si>
    <t>750VN</t>
  </si>
  <si>
    <t>WOS:000187019300009</t>
  </si>
  <si>
    <t>Arnould, JPY; Luque, SP; Guinet, C; Costa, DP; Kingston, J; Shaffer, SA</t>
  </si>
  <si>
    <t>The comparative energetics and growth strategies of sympatric Antarctic and subantarctic fur seal pups at Iles Crozet</t>
  </si>
  <si>
    <t>maternal provisioning; metabolic rate; growth strategy; resource partitioning; energetics; weaning; fur seal; Arctocephalus gazella; Arctocephalus tropicalis</t>
  </si>
  <si>
    <t>ARCTOCEPHALUS-GAZELLA PUPS; HYDROGEN ISOTOPE-DILUTION; RESTING METABOLIC-RATE; AMSTERDAM ISLAND; MACQUARIE ISLAND; BODY-COMPOSITION; CALLORHINUS-URSINUS; THYROID-HORMONE; DIVING BEHAVIOR; MARION-ISLAND</t>
  </si>
  <si>
    <t>The period of maternal dependence is a time during which mammalian infants must optimise both their growth and the development of behavioural skills in order to successfully meet the demands of independent living. The rate and duration of maternal provisioning, postweaning food availability and climatic conditions are all factors likely to influence the growth strategies of infants. While numerous studies have documented differences in growth strategies at high taxonomic levels, few have investigated those of closely related species inhabiting similar environments. The present study examined the body composition, metabolism and indices of physiological development in pups of Antarctic fur seals (Arctocephalus gazella) and subantarctic fur seals (Arctocephalus tropicalis), congeneric species with different weaning ages (4 months and 10 months, respectively), during their overlap in lactation at a sympatric breeding site in the Iles Crozet. Body lipid reserves in pre-moult pups were significantly greater (t(28)=2.73, P&lt;0.01) in subantarctic (26%) than Antarctic fur seals (22%). Antarctic fur seal pups, however, had significantly higher (t(26)=3.82, P&lt;0.001) in-air resting metabolic rates (RMR; 17.1 +/- 0.6 ml O-2 kg(-1) min(-1)) than subantarctic fur seal pups (14.1 +/- 0.5 ml O-2 kg(-1) min(-1)). While in-water standard metabolic rate (SMR; 22.9 +/- 2.5 ml O-2 kg(-1) min(-1)) was greater than in-air RMR for Antarctic fur seal pups (t(9)=2.59, P&lt;0.03), there were no significant differences between in-air RMR and in-water SMR for subantarctic fur seal pups (t(12)=0.82, P&gt;0.4), although this is unlikely to reflect a greater ability for pre-moult pups of the latter species to thermoregulate in water. Pup daily energy expenditure was also significantly greater (t(27)=236, P&lt;0.03) in Antarctic fur seals (638 +/- 33 kJ kg(-1) day(-1)) than in subantarctic fur seals (533 +/- 33 kJ kg(-1) day(-1)), which corroborates observations that pups of the former species spend considerably more time actively learning to swim and dive. Consistent with this observation is the finding that blood oxygen storage capacity was significantly greater (t(9)=2.81, P&lt;0.03) in Antarctic (11.5%) than subantarctic fur seal (8.9%) pups. These results suggest that, compared with subantarctic fur seals, Antarctic fur seal pups adopt a strategy of faster lean growth and physiological development, coupled with greater amounts of metabolically expensive behavioural activity, in order to acquire the necessary foraging skills in time for their younger weaning age.</t>
  </si>
  <si>
    <t>Univ Melbourne, Dept Zool, Melbourne, Vic, Australia; CNRS, Ctr Etud Biol Chize, F-79360 Villiers En Bois, France; Mem Univ Newfoundland, Dept Biol, St Johns, NF A1B 3X9, Canada; Univ Calif Santa Cruz, Dept Ecol &amp; Evolutionary Biol, Santa Cruz, CA 95060 USA; Macquarie Univ, Sch Biol Sci, N Ryde, NSW 2109, Australia</t>
  </si>
  <si>
    <t>University of Melbourne; Melbourne Bioinformatics; Centre National de la Recherche Scientifique (CNRS); Memorial University Newfoundland; University of California System; University of California Santa Cruz; Macquarie University</t>
  </si>
  <si>
    <t>Arnould, JPY (corresponding author), Univ Melbourne, Dept Zool, Melbourne, Vic, Australia.</t>
  </si>
  <si>
    <t>Sinclair, Jennifer/C-4625-2008; Guinet, Christophe/AAR-8457-2020; Luque, Susana/A-6607-2018; Costa, Daniel Paul/E-2616-2013; Shaffer, Scott/D-5015-2009</t>
  </si>
  <si>
    <t>Costa, Daniel Paul/0000-0002-0233-5782; Shaffer, Scott/0000-0002-7751-5059; LUQUE, SONIA/0000-0002-3215-320X</t>
  </si>
  <si>
    <t>COMPANY OF BIOLOGISTS LTD</t>
  </si>
  <si>
    <t>BIDDER BUILDING CAMBRIDGE COMMERCIAL PARK COWLEY RD, CAMBRIDGE CB4 4DL, CAMBS, ENGLAND</t>
  </si>
  <si>
    <t>10.1242/jeb.00703</t>
  </si>
  <si>
    <t>755GC</t>
  </si>
  <si>
    <t>WOS:000187394300014</t>
  </si>
  <si>
    <t>Ream, RA; Theriot, JA; Somero, GN</t>
  </si>
  <si>
    <t>Influences of thermal acclimation and acute temperature change on the motility of epithelial wound-healing cells (keratocytes) of tropical, temperate and Antarctic fish</t>
  </si>
  <si>
    <t>Antarctic fish; cell motility; cytoskeleton; notothenioid; keratocytes; temperature</t>
  </si>
  <si>
    <t>CARP CYPRINUS-CARPIO; COLD ADAPTATION; CHANNEL CATFISH; IMMUNE-SYSTEM; ENVIRONMENTAL-TEMPERATURE; TREMATOMUS BERNACCHII; ACTIN; DYNAMICS; INVITRO</t>
  </si>
  <si>
    <t>The ability to heal superficial wounds is an important element in an organism's repertoire of adaptive responses to environmental stress. In fish, motile cells termed keratocytes; are thought to play important roles in the wound-healing process. Keratocyte motility, like other physiological rate processes, is likely to be dependent on temperature and to show adaptive variation among differently thermally adapted species. We have quantified the effects of acute temperature change and thermal acclimation on actin-based keratocyte movement in primary cultures of keratocytes from four species of teleost fish adapted to widely different thermal conditions: two eurythermal species, the longjaw mudsucker Gillichthys mirabilis (environmental temperature range of approximately 10-37degreesC) and a desert pupfish, Cyprinodon salinus (10-40degreesC), and two species from stable thermal environments, an Antarctic notothenioid, Trematomus bernacchii (4.86degreesC), and a tropical clownfish, Amphiprion percula (26-30degreesC). For all species, keratocyte speed increased with increasing temperature. G. mirabilis and C salinus keratocytes reached maximal speeds at 25degreesC and 35degreesC, respectively, temperatures within the species' normal thermal ranges. Keratocytes of the stenothermal species continued to increase in speed as temperature increased above the species' normal temperature ranges. The thermal limits of keratocyte motility appear to exceed those of whole-organism thermal tolerance, notably in the case of T. bernachii. Keratocytes of T. bernacchii survived supercooling to -6degreesC and retained motility at temperatures as high as 20degreesC. Mean keratocyte speed was conserved at physiological temperatures for the three temperate and tropical species, which suggests that a certain rate of motility is advantageous for wound healing. However, there was no temperature compensation in speed of movement for keratocytes of the Antarctic fish, which have extremely slow rates of movement at physiological temperatures. Keratocytes from all species moved in a persistent, unidirectional manner at low temperatures but at higher temperatures began to take more circular or less-persistent paths. Thermal acclimation affected the persistence and turning magnitude of keratocytes, with warmer acclimations generally yielding more persistent cells that followed straighter paths. However, acclimation did not alter the effect of experimental temperature on cellular speed. These findings suggest that more than one temperature-sensitive mechanism may govern cell motility: the rate-limiting process(es) responsible for speed is distinct from the mechanism(s) underlying directionality and persistence. Keratocytes; represent a useful study system for evaluating the effects of temperature at the cellular level and for studying adaptive variation in actin-based cellular movement and capacity for wound healing.</t>
  </si>
  <si>
    <t>Hopkins Marine Stn, Pacific Grove, CA 93950 USA; Stanford Univ, Sch Med, Beckman Ctr, Dept Biochem, Stanford, CA 94305 USA</t>
  </si>
  <si>
    <t>Stanford University</t>
  </si>
  <si>
    <t>Somero, GN (corresponding author), Hopkins Marine Stn, Pacific Grove, CA 93950 USA.</t>
  </si>
  <si>
    <t>Theriot, Julie/HHN-2034-2022; Somero, George/AAC-3321-2019</t>
  </si>
  <si>
    <t>Somero, George/0000-0003-1431-6455; Theriot, Julie/0000-0002-2334-2535</t>
  </si>
  <si>
    <t>Direct For Biological Sciences; Division Of Integrative Organismal Systems [1027058] Funding Source: National Science Foundation</t>
  </si>
  <si>
    <t>Direct For Biological Sciences; Division Of Integrative Organismal Systems(National Science Foundation (NSF)NSF - Directorate for Biological Sciences (BIO)NSF - Division of Integrative Organismal Systems (IOS))</t>
  </si>
  <si>
    <t>10.1242/jeb.00706</t>
  </si>
  <si>
    <t>WOS:000187394300018</t>
  </si>
  <si>
    <t>Hill, SL; Burrows, MT; Hughes, RN</t>
  </si>
  <si>
    <t>The efficiency of adaptive search tactics for different prey distribution patterns: a simulation model based on the behaviour of juvenile plaice</t>
  </si>
  <si>
    <t>JOURNAL OF FISH BIOLOGY</t>
  </si>
  <si>
    <t>Annual Symposium of the Fisheries-Society-of-the-British-Isles</t>
  </si>
  <si>
    <t>JUN 30-JUL 04, 2003</t>
  </si>
  <si>
    <t>NORWICH, ENGLAND</t>
  </si>
  <si>
    <t>area-restricted search foraging; nearest-neighbour analysis; saltatory search; simulation model</t>
  </si>
  <si>
    <t>PREDATION; FOOD; ZOOPLANKTON; FISH</t>
  </si>
  <si>
    <t>Juvenile plaice Pleuronectes platessa are particularly useful for studying forager search behaviour because their search paths are essentially two dimensional, and punctuated by natural stops. Their prey Occur in a range of natural distributions from highly aggregated to over-dispersed. Juvenile plaice use area-restricted search near aggregated prey and extensive search, consisting of longer moves and fewer turns, between aggregations and when searching for dispersed prey. They search for less conspicuous prey items mainly in the pauses between movements. This saltatory search behaviour contrasts with the continuous search that is usually assumed in search models. A simulation model of saltatory search behaviour showed that a strategy combining extensive and intensive search allows the efficient exploitation of a range of natural prey distribution patterns, and that it is particularly effective when the search behaviour is controlled by perceived prey density. This allows the predator to respond to the localized aggregations which often occur in nature. The selective use of intensive search was more efficient than the continuous use of extensive search even in prey distribution patterns that were statistically over-dispersed. (C) 2003 The Fisheries Society of the British Isles.</t>
  </si>
  <si>
    <t>Dunstaffnage Marine Res Lab, SAMS, Oban PA34 4AD, Argyll, Scotland; Univ Coll N Wales, Sch Biol Sci, Bangor LL57 2UW, Gwynedd, Wales</t>
  </si>
  <si>
    <t>Bangor University</t>
  </si>
  <si>
    <t>sih@bas.ac.uk</t>
  </si>
  <si>
    <t>Simeon, Hill L/B-2307-2008; Ross, Donald J/F-7607-2012; Burrows, Michael/ABF-4844-2020</t>
  </si>
  <si>
    <t>Burrows, Michael/0000-0003-4620-5899</t>
  </si>
  <si>
    <t>0022-1112</t>
  </si>
  <si>
    <t>1095-8649</t>
  </si>
  <si>
    <t>J FISH BIOL</t>
  </si>
  <si>
    <t>J. Fish Biol.</t>
  </si>
  <si>
    <t>10.1111/j.1095-8649.2003.00212.x</t>
  </si>
  <si>
    <t>761BQ</t>
  </si>
  <si>
    <t>WOS:000187879700007</t>
  </si>
  <si>
    <t>Suzuki, H; Sasaki, H; Fukuchi, M</t>
  </si>
  <si>
    <t>Loss processes of sinking fecal pellets of zooplankton in the mesopelagic layers of the antarctic marginal ice zone</t>
  </si>
  <si>
    <t>JOURNAL OF OCEANOGRAPHY</t>
  </si>
  <si>
    <t>fecal pellets; coprophagy and coprorhexy; mesopelagic copepods; DNA; Antarctic marginal ice zone</t>
  </si>
  <si>
    <t>SOUTHEASTERN WEDDELL SEA; ECOLOGICAL IMPLICATIONS; CYCLOPOID COPEPODS; CALANOID COPEPODS; NATURAL COPEPOD; PARTICLE-FLUX; SEDIMENTATION; RATES; ABUNDANCE; WATER</t>
  </si>
  <si>
    <t>A time-series sediment trap deployment was carried out in the marginal ice zone (MIZ) of the Antarctic Ocean (64degrees42' S, 139-58' E; sea depth of 2930 m), during the austral summer. Cylindrical fecal pellets were the predominant sinking particles at 537 in in the middle of January and most of them disappeared below that depth, the loss of which were 25.3 mg C m(-2) day(-1) in the depth range of 537-796 m. Small-sized sinking particles other than fecal pellets increased in that depth range. Analyses of fecal pellets for remnant DNA corresponding to 16S mitochondrial RNA and 28S ribosomal RNA suggested that the large cylindrical fecal pellets at 537 in were produced by Antarctic krill (Euphausia superba) and copepods. According to the presence of the DNA associated with sinking particles, E. superba fecal pellets rapidly disappeared below 537 in, while copepod fecal pellets still remained in the mesopelagic and bathypelagic layers. Small-sized amorphous sinking particles at 537 in also contained E. superba- and copepod-derived DNA. The abundance of trap-collected copepods (Oithona spp. and Oncaea spp.) which are known to be coprophagous increased at 796 in where many fecal pellets disappeared. We suggest that those rapidly sinking pellets were fragmented by copepods with intensified coprorhexy activity (fragmentation of fecal pellets) in the mesopelagic layers, reducing their sinking rates. These smaller and slower sinking particles can be important food sources for detritivorus or coprophagous animals in mesopelagic and bathypelagic layers in the MIZ.</t>
  </si>
  <si>
    <t>Ishinomaki Senshu Univ, Dept Biotechnol, Ishinomaki 9868580, Japan; Natl Inst Polar Res, Itabashi Ku, Tokyo 1738515, Japan</t>
  </si>
  <si>
    <t>Suzuki, H (corresponding author), Ishinomaki Senshu Univ, Dept Biotechnol, Ishinomaki 9868580, Japan.</t>
  </si>
  <si>
    <t>suzuki@isenshu-u.ac.jp</t>
  </si>
  <si>
    <t>0916-8370</t>
  </si>
  <si>
    <t>J OCEANOGR</t>
  </si>
  <si>
    <t>J. Oceanogr.</t>
  </si>
  <si>
    <t>10.1023/B:JOCE.0000009572.08048.0d</t>
  </si>
  <si>
    <t>740LM</t>
  </si>
  <si>
    <t>WOS:000186403900005</t>
  </si>
  <si>
    <t>Visser, F; Gerringa, LJA; Van der Gaast, SJ; de Baar, HJW; Timmermans, KR</t>
  </si>
  <si>
    <t>The role of the reactivity and content of iron of aerosol dust on growth rates of two Antarctic diatom species</t>
  </si>
  <si>
    <t>bioavailability; bioindicators; diatoms; dust; Fe limitation; iron</t>
  </si>
  <si>
    <t>SOUTHERN-OCEAN; MARINE-PHYTOPLANKTON; PRIMARY PRODUCTIVITY; ATMOSPHERIC INPUT; DISSOLVED IRON; PACIFIC-OCEAN; NORTH PACIFIC; LIMITATION; AVAILABILITY; KINETICS</t>
  </si>
  <si>
    <t>The atmosphere is widely recognized as a major source of Fe in the form of iron-containing dust. This study provides the first experiments in which the impact of dust on the growth rates of single species of Antarctic diatoms was assessed under laboratory conditions. The dust was among others characterized by x-ray powder diffraction analysis, analysis of total and amorphous Fe content, and dissolution rates of Fe in seawater. The amount of bioavailable Fe from the dust was determined, not via the complicated chemistry of Fe in seawater but by using diatoms as bioindicators for available Fe. Cultures of two large diatom species, Actinocyclus sp. and Thalassiosira sp., were amended with potential dust aerosols from two dust-supplying regions, Namibia and Mauritania, and responses on growth rates were monitored. Apart from a difference in total Fe content, a difference in crystallinity existed in the Fe minerals of both dust types. The fraction of amorphous Fe was reflected in a higher reactivity/dissolution of Fe in seawater. The increase in growth rate upon dust addition was positively related with the amount of amorphous Fe in the dust and with the dissolution rate of Fe in seawater. However, compared with equal FeCl3 concentrations, the dissolved Fe from the dust was not completely available for the diatoms. Interestingly, the diatoms used only a small part of the dissolved Fe, demonstrating the importance of algae as bioindicators.</t>
  </si>
  <si>
    <t>Royal Netherlands Inst Sea Res, NL-1790 AB Den Burg, Netherlands</t>
  </si>
  <si>
    <t>Utrecht University; Royal Netherlands Institute for Sea Research (NIOZ)</t>
  </si>
  <si>
    <t>Royal Netherlands Inst Sea Res, POB 59, NL-1790 AB Den Burg, Netherlands.</t>
  </si>
  <si>
    <t>klaas@nioz.nl</t>
  </si>
  <si>
    <t>timmermans, klaas/0000-0002-3214-4354</t>
  </si>
  <si>
    <t>10.1111/j.0022-3646.2003.03-023.x</t>
  </si>
  <si>
    <t>746MT</t>
  </si>
  <si>
    <t>WOS:000186750700007</t>
  </si>
  <si>
    <t>de Salas, MF; Bolch, CJS; Botes, L; Nash, G; Wright, SW; Hallegraeff, GM</t>
  </si>
  <si>
    <t>Takayama gen. nov (Gymnodiniales, Dinophyceae), a new genus of unarmored dinoflagellates with sigmoid apical grooves, including the description of two new species</t>
  </si>
  <si>
    <t>apical grooves; Gymnodinium pulchellum; Gyrodinium acrotrochum; Gyrodinium cladochroma; Karenia; Karlodinium; LSU rDNA sequences; pigments; Takayama; T. helix; T. tasmanica; taxonomy</t>
  </si>
  <si>
    <t>TOXIC DINOFLAGELLATE; CATENATUM</t>
  </si>
  <si>
    <t>A new potentially ichthyotoxic dinoflagellate genus, Takayama de Salas, Bolch, Botes et Hallegraeff gen. nov., is described with two new species isolated from Tasmanian (Australia) and South African coastal waters: T. tasmanica de Salas, Bolch et Hallegraeff, sp. nov. and T. helix, de Salas, Bolch, Botes et Hallegraeff, sp. nov. The genus and two species are characterized by LM and EM of field samples and laboratory cultures as well as large subunit rDNA sequences and HPLC pigment analyses of several cultured strains. The new Takayama species have sigmoid apical grooves and contain fucoxanthin and its derivatives as the main accessory pigments. Takayama tasmanica is similar to the previously described species Gymnodinium pulchellum Larsen, Gyrodinium acrotrochum Larsen, and G. cladochroma Larsen in its external morphology but differs from these in having two ventral pores, a large horseshoe-shaped nucleus, and a central pyrenoid with radiating chloroplasts that pass through the nucleus. It contains gyroxanthin-diester and a gyroxanthin-like accessory pigment, both of which are missing in T. helix. Takayama helix has an apical groove that is nearly straight while still being clearly inflected. A ventral pore or slit is present. It has numerous peripheral, strap shaped, and spiraling chloroplasts with individual pyrenoids and a solid ellipsoidal nucleus. The genus Takayama has close affinities to the genera Karenia and Karlodinium.</t>
  </si>
  <si>
    <t>Univ Tasmania, Sch Plant Sci, Hobart, Tas 7001, Australia; Australian Antarctic Div, Kingston, Tas 7050, Australia; Univ Cape Town, Dept Zool, Marine Biol Res Inst, ZA-7701 Cape Town, South Africa; Univ Tasmania, Sch Aquaculture, Launceston, Tas 7250, Australia</t>
  </si>
  <si>
    <t>University of Tasmania; Australian Antarctic Division; University of Cape Town; University of Tasmania</t>
  </si>
  <si>
    <t>Hallegraeff, GM (corresponding author), Univ Tasmania, Sch Plant Sci, Private Bag 55, Hobart, Tas 7001, Australia.</t>
  </si>
  <si>
    <t>Bolch, Christopher J/J-7619-2014; Hallegraeff, Gustaaf/C-8351-2013</t>
  </si>
  <si>
    <t>Hallegraeff, Gustaaf/0000-0001-8464-7343</t>
  </si>
  <si>
    <t>BLACKWELL PUBLISHING INC</t>
  </si>
  <si>
    <t>350 MAIN ST, MALDEN, MA 02148 USA</t>
  </si>
  <si>
    <t>10.1111/j.0022-3646.2003.03-019.x</t>
  </si>
  <si>
    <t>WOS:000186750700020</t>
  </si>
  <si>
    <t>Chassignet, EP; Smith, LT; Halliwell, GR; Bleck, R</t>
  </si>
  <si>
    <t>North Atlantic Simulations with the Hybrid Coordinate Ocean Model (HYCOM): Impact of the vertical coordinate choice, reference pressure, and thermobaricity</t>
  </si>
  <si>
    <t>GENERAL-CIRCULATION MODEL; EQUATORIAL ATLANTIC; HEAT-TRANSPORT; AZORES CURRENT; CLOSURE-MODEL; WORLD OCEAN; PART II; THERMOCLINE; TURBULENCE; MOMENTUM</t>
  </si>
  <si>
    <t>The viability of a generalized ( Hybrid) Coordinate Ocean Model (HYCOM), together with the importance of thermobaricity and the choice of reference pressure, is demonstrated by analyzing simulations carried out using the World Ocean Circulation Experiment (WOCE) Community Modeling Experiment (CME) Atlantic basin configuration. The standard hybrid vertical coordinate configuration is designed to remain isopycnic throughout as much of the water column as possible while smoothly making a transition to level ( pressure) coordinates in regions with weak vertical density gradients, such as the surface mixed layer, and to terrain-following coordinates in shallow-water regions. Single-coordinate ( pressure or density) experiments illustrate the flexibility of the model but also bring forward some of the limitations associated with such a choice. Hybrid experiments with potential density referenced to the surface (sigma(theta)) and to 20 MPa (similar to2000 m) (sigma(2)) illustrate the increased influence of pressure errors with increasing distance from the reference pressure. The sigma(theta) hybrid experiment does not properly reproduce the northward flow of Antarctic Bottom Water (AABW), and large errors in near-surface pressure gradients in the sigma(2) experiment produce a wind-driven gyre circulation that is too strong, when compared with observations, and a North Atlantic Current that follows an unrealistic path. These near-surface and near-bottom pressure errors are removed when thermobaric effects are included, resulting in a more accurate representation of the upper-ocean gyre circulation, the northward AABW flow near the bottom, and the meridional overturning circulation and heat flux.</t>
  </si>
  <si>
    <t>Univ Miami, Rosenstiel Sch Marine &amp; Atmospher Sci, MPO, Miami, FL 33149 USA; Los Alamos Natl Lab, Los Alamos, NM USA</t>
  </si>
  <si>
    <t>University of Miami; United States Department of Energy (DOE); Los Alamos National Laboratory</t>
  </si>
  <si>
    <t>Chassignet, EP (corresponding author), Univ Miami, Rosenstiel Sch Marine &amp; Atmospher Sci, MPO, 4600 Rickenbacker Causeway, Miami, FL 33149 USA.</t>
  </si>
  <si>
    <t>echassignet@rsmas.miami.edu</t>
  </si>
  <si>
    <t>Bleck, Rainer/AAQ-2905-2021; Halliwell, George/B-3046-2011</t>
  </si>
  <si>
    <t>Bleck, Rainer/0000-0001-7387-4620; Chassignet, Eric/0000-0003-4710-7502; Halliwell, George/0000-0003-4216-070X</t>
  </si>
  <si>
    <t>10.1175/1520-0485(2003)033&lt;2504:NASWTH&gt;2.0.CO;2</t>
  </si>
  <si>
    <t>754PX</t>
  </si>
  <si>
    <t>WOS:000187327400003</t>
  </si>
  <si>
    <t>Garabato, ACN; Stevens, DP; Heywood, KJ</t>
  </si>
  <si>
    <t>Water mass conversion, fluxes, and mixing in the Scotia Sea diagnosed by an inverse model</t>
  </si>
  <si>
    <t>ANTARCTIC CIRCUMPOLAR CURRENT; GLOBAL OCEAN CIRCULATION; SOUTHERN-OCEAN; WEDDELL SEA; DRAKE PASSAGE; BOTTOM WATER; SATELLITE ALTIMETRY; DEEP-WATER; MEAN FLOW; HEAT</t>
  </si>
  <si>
    <t>An inverse box model of the Scotia Sea is constructed using hydrographic, tracer, and velocity data collected along the rim of the basin during the Antarctic Large-Scale Box Analysis and the Role of the Scotia Sea ( ALBATROSS) cruise. The model provides an estimate of the time-mean three-dimensional circulation as the Antarctic Circumpolar Current (ACC) crosses the region. It concurrently solves for geostrophic and wind-driven Ekman transports across the boundaries of the basin, air - sea-driven diapycnal fluxes, and interior'' diapycnal fluxes below the ocean surface. An increase is diagnosed in the ACC volume transport from 143 +/- 13 Sv (Sv = 10(6) m(3) s(-1)) at Drake Passage to 149 +/- 16 Sv on leaving the Scotia Sea, supplied by the import of 5.9 +/- 1.7 Sv of Weddell Sea Deep Water (WSDW) over the South Scotia Ridge. There is a lateral redistribution of the transport, primarily in response to a topographically induced branching of the 70 - 80 Sv polar front (PF) jet and an increase in the transport associated with the subantarctic front (SAF) from 31 +/- 7 to 48 +/- 4 Sv. A vertical rearrangement of the transport also occurs, with differences O(2 Sv) in the transports of intermediate and deep water masses. These volume transport changes are accompanied by a net reduction ( increase) in the heat ( freshwater) flux associated with the ACC by 0.02 +/- 0.020 PW (0.020 +/- 0.017 Sv), the main cause of which is the cooling and freshening of the Circumpolar Deep Water (CDW) layer in the Scotia Sea. The model suggests that the Scotia Sea hosts intense diapycnal mixing in the ocean interior extending 1500 - 2000 m above the rough topography of the basin. Despite these model results, no evidence is found for a significant diapycnal link between the upper and lower classes of CDW (and hence between the shallow'' and deep'' cells of the Southern Ocean meridional overturning circulation). On the contrary, the boundary between Upper and Lower CDW separates two distinct regimes of diapycnal mixing involving volume fluxes of 1 - 3 Sv. Whereas in the denser waters topographic mixing is important, in lighter layers air - sea-driven diapycnal volume fluxes are dominant and diapycnal transfers of heat and freshwater are mainly effected by upper-ocean mixing processes. The model indicates that the ventilation of the deep ACC in the Scotia Sea is driven primarily by isopycnal exchanges with the northern Weddell Sea and to a lesser extent by diapycnal mixing with WSDW. The model reveals the existence of a mesoscale eddy-driven overturning circulation across the ACC core involving an isopycnal poleward transport of 8 +/- 1 Sv of CDW and an equatorward transport of intermediate water of the same magnitude. This circulation induces a cross-ACC poleward heat flux of 0.022 +/- 0.009 PW and an equatorward freshwater flux of 0.02 +/- 0.01 Sv. Adequately scaled, the former compares favorably to measurements of the cross-stream eddy heat flux by moored current meters and floats in the ACC and to budget estimates of the circumpolar cross-ACC heat flux.</t>
  </si>
  <si>
    <t>Univ E Anglia, Sch Environm Sci, Norwich NR4 7TJ, Norfolk, England; Univ E Anglia, Sch Math, Norwich NR4 7TJ, Norfolk, England</t>
  </si>
  <si>
    <t>University of East Anglia; University of East Anglia</t>
  </si>
  <si>
    <t>Garabato, ACN (corresponding author), Univ E Anglia, Sch Environm Sci, Norwich NR4 7TJ, Norfolk, England.</t>
  </si>
  <si>
    <t>a.naveira-garabato@uea.ac.uk</t>
  </si>
  <si>
    <t>Garabato, Alberto Naveira/AAQ-1114-2020; Heywood, Karen/L-1757-2016; Stevens, David/F-2509-2010</t>
  </si>
  <si>
    <t>Garabato, Alberto Naveira/0000-0001-6071-605X; Heywood, Karen/0000-0001-9859-0026; Stevens, David/0000-0002-7283-4405</t>
  </si>
  <si>
    <t>hybrid, Green Accepted, Green Submitted</t>
  </si>
  <si>
    <t>WOS:000187327400007</t>
  </si>
  <si>
    <t>Olbers, D; Eden, C</t>
  </si>
  <si>
    <t>A simplified general circulation model for a baroclinic ocean with topography. Part I: Theory, waves, and wind-driven circulations</t>
  </si>
  <si>
    <t>ANTARCTIC CIRCUMPOLAR CURRENT; FREE KELVIN WAVE; NORTH-ATLANTIC; STRATIFIED OCEAN; SPIN-UP; THERMOHALINE; DYNAMICS; CHANNEL; FLOW</t>
  </si>
  <si>
    <t>A new type of ocean general circulation model with simplified physics is described and tested for various simple wind-driven circulation problems. The model consists of the vorticity balance of the depth-averaged flow and a hierarchy of equations for vertical moments'' of density and baroclinic velocity. The first vertical density moment is the ( vertically integrated) potential energy, which is used to describe the predominant link between the barotropic and the baroclinic oceanic flow in the presence of sloping topography. Tendency equations for the vertical moments of density and baroclinic velocity and an appropriate truncation of the coupled hierarchy of moments are derived that, together with the barotropic vorticity balance, yield a closed set of equations describing the barotropic - baroclinic interaction (BARBI) model of the oceanic circulation. Idealized companion experiments with a numerical implementation of the BARBI model and a primitive equation model indicate that wave propagation properties and baroclinic adjustments are correctly represented in BARBI in midlatitudes as well as in equatorial latitudes. Furthermore, a set of experiments with a realistic application to the Atlantic/ Southern Ocean system reproduces important aspects that have been previously reported by studies of gyre circulations and circumpolar currents using full primitive equation models.</t>
  </si>
  <si>
    <t>Alfred Wegener Inst Polar &amp; Marine Res, D-2850 Bremerhaven, Germany; Dalhousie Univ, Dept Oceanog, Halifax, NS, Canada</t>
  </si>
  <si>
    <t>Helmholtz Association; Alfred Wegener Institute, Helmholtz Centre for Polar &amp; Marine Research; Dalhousie University</t>
  </si>
  <si>
    <t>Eden, C (corresponding author), Inst Meereskunde, FB 1, Dusternbrooker Weg 20, D-24105 Kiel, Germany.</t>
  </si>
  <si>
    <t>10.1175/1520-0485(2003)033&lt;2719:ASGCMF&gt;2.0.CO;2</t>
  </si>
  <si>
    <t>WOS:000187327400016</t>
  </si>
  <si>
    <t>Dijkstra, HA; Weijer, W; Neelin, JD</t>
  </si>
  <si>
    <t>Imperfections of the three-dimensional thermohaline circulation: Hysteresis and unique-state regimes</t>
  </si>
  <si>
    <t>MULTIPLE EQUILIBRIA; OCEAN CIRCULATION; CLIMATE-CHANGE; CONVECTION; MODEL; FLUX</t>
  </si>
  <si>
    <t>Different equilibria of oceanic thermohaline circulation may exist under the same forcing conditions. One of the reasons for the existence of these multiple equilibria is a feedback between the overturning circulation and the advective transport of salt and heat. In an equatorially symmetric configuration, the multiple equilibria arise through symmetry-breaking pitchfork bifurcations when the strength of the freshwater forcing is increased. Here, continuation methods are used to track the fate of the different equilibria under equatorially asymmetric conditions in a three-dimensional, low-resolution ocean general circulation model in an Atlantic-like basin coupled to an energy-balance atmosphere model. The effect of the continental geometry, the presence of the Antarctic Circumpolar Current (ACC), and asymmetric air - sea interaction on the preference of equilibria are considered. Although all asymmetry-inducing mechanisms favor northern Atlantic sinking states, the open Southern Ocean and ACC are shown to be substantial contributors. The origin of the hysteresis behavior between strong and weak overturning states is clarified in terms of the overall bifurcation picture. The disappearance of a class of southern sinking equilibria because of the combined effects of all asymmetry mechanisms leads to a substantial regime with a unique steady state. The relationship between the hysteresis regime and the unique-state regime provides a larger context for quantitative determination of the relevance of each to climate.</t>
  </si>
  <si>
    <t>Univ Utrecht, Dept Phys &amp; Astron, Inst Marine &amp; Atmospher Res Utrecht, NL-3584 CC Utrecht, Netherlands; Univ Calif Los Angeles, Dept Atmospher Sci, Los Angeles, CA 90024 USA; Univ Calif Los Angeles, Inst Geophys &amp; Planetary Phys, Los Angeles, CA 90024 USA</t>
  </si>
  <si>
    <t>Utrecht University; University of California System; University of California Los Angeles; University of California System; University of California Los Angeles</t>
  </si>
  <si>
    <t>Univ Utrecht, Dept Phys &amp; Astron, Inst Marine &amp; Atmospher Res Utrecht, Princetonpl 5, NL-3584 CC Utrecht, Netherlands.</t>
  </si>
  <si>
    <t>dijkstra@phys.uu.nl</t>
  </si>
  <si>
    <t>Neelin, J. David/H-4337-2011; Dijkstra, Henk A./H-2559-2016; Weijer, Wilbert/AAT-3247-2021; Weijer, Wilbert/A-7909-2010</t>
  </si>
  <si>
    <t>Neelin, J. David/0000-0001-9414-9962; Weijer, Wilbert/0000-0002-5654-562X; Weijer, Wilbert/0000-0002-5654-562X</t>
  </si>
  <si>
    <t>10.1175/1520-0485(2003)033&lt;2796:IOTTTC&gt;2.0.CO;2</t>
  </si>
  <si>
    <t>WOS:000187327400021</t>
  </si>
  <si>
    <t>Hunt, BPV; Hosie, GW</t>
  </si>
  <si>
    <t>The Continuous Plankton Recorder in the Southern Ocean:: a comparative analysis of zooplankton communities sampled by the CPR and vertical net hauls along 140°E</t>
  </si>
  <si>
    <t>CALANOIDES-ACUTUS; RHINCALANUS-GIGAS; MIGRATION; ABUNDANCE; COPEPODS; MACROZOOPLANKTON; APPENDICULARIA; OIKOPLEURA; STRATEGIES; BIOMASS</t>
  </si>
  <si>
    <t>A repeat transect was run south of Tasmania, along similar to140degreesE, during November and December 2001. NORPAC nets were deployed during a CTD transect on the southern leg, sampling four depth zones at each of 19 stations: 0-20, 20-50, 50-100 and 100-150 m. A Continuous Plankton Recorder (CPR) was deployed on the northern leg (average sampling depth = 10.5 m). Both net systems were harnessed with 270 mum mesh and all sampling was conducted between 47degreesS and the Southern Polar Front (S-PF) at similar to61degreesS. Zooplankton in the top 150 m of the water column demonstrated strong, small-scale, vertical distribution patterns. Species richness and diversity increased with depth, and were lowest for CPR samples. Conversely, dominance decreased with depth and was highest for CPR samples. Evenness was similar for all sample groups, indicating that all communities had a similar distribution of abundance amongst species. There was little variation in abundance between NORPAC depth zones (average = 82 +/- 47 individuals m(-3)), while abundance was substantially higher in the CPR samples (average = 144 +/- 103 individuals m(-3)), despite it under-sampling fast-moving and delicate components of the plankton community. The higher CPR abundance was due to significantly higher abundance levels of Appendicularia, Oithona similis and Rhincalanus gigas nauplii. The NORPAC samples showed that these three taxa were most abundant in the surface waters. The significant increase in abundance in the CPR samples was attributed to the growth in size during the period between the NORPAC and CPR surveys (minimum 15 days) increasing their catchability. Both the NORPAC nets and CPR surveys identified distinct communities to the north and south of the Southern Sub-Antarctic Front. Owing to its shallow towing depth, the CPR focuses on species with surface distributions. Despite under-sampling some components of the zooplankton, the CPR provided sufficient taxonomic resolution to identify biogeographic zones in the Southern Ocean. The utility of the CPR as a long-term monitoring tool in the Southern Ocean is discussed.</t>
  </si>
  <si>
    <t>brian.hunt@aad.gov.au</t>
  </si>
  <si>
    <t>1464-3774</t>
  </si>
  <si>
    <t>10.1093/plankt/fbg108</t>
  </si>
  <si>
    <t>753LH</t>
  </si>
  <si>
    <t>WOS:000187232500010</t>
  </si>
  <si>
    <t>Romero, O; Mollenhauer, G; Schneider, RR; Wefer, G</t>
  </si>
  <si>
    <t>Oscillations of the siliceous imprint in the central Benguela Upwelling System from MIS 3 through to the early Holocene: the influence of the Southern Ocean</t>
  </si>
  <si>
    <t>JOURNAL OF QUATERNARY SCIENCE</t>
  </si>
  <si>
    <t>Benguela; diatoms; upwelling; Southern Ocean; silicate</t>
  </si>
  <si>
    <t>MATUYAMA DIATOM MAXIMUM; ANTARCTIC SEA-ICE; SURFACE SEDIMENTS; WALVIS RIDGE; SW AFRICA; ATLANTIC; VARIABILITY; PRODUCTIVITY; FLUX; RECONSTRUCTION</t>
  </si>
  <si>
    <t>Based on a high-resolution analysis of the diatom signal and biogenic bulk components at site GeoB3606-1 (25degreesS, off Namibia), we describe rapid palaeoceanographic changes in the Benguela Upwelling System (BUS) from early MIS 3 through to the early Holocene (55000 to 7000 C-14 yr BP). Coastal upwelling strongly varied at 25degreesS from MIS 3 through to MIS 2. The abrupt decrease in the accumulation rate of biogenic silica and diatoms from MIS 3 into MIS 2 records rapid oceanographic changes in the BUS off Namibia. During MIS 3, leakage of excess H4SiO4 acid from the Southern Ocean into low-latitude surface waters, as indicated by the occurrence of Antarctic diatoms, enhanced the production of spores of Chaetoceros at the expense of calcareous phytoplankton. Furthermore, shallower Antarctic Intermediate Water (AAIW) would have enriched the thermocline off Namibia with silicate transported from the Southern Ocean. The strong decrease of the siliceous signal throughout MIS 2 represents a decrease in the nutrient input to the BUS, even though the diatom assemblage is still dominated by spores of the upwelling-associated diatom genus Chaetoceros. Depletion of silicate in the thermocline from the onset of MIS 2 through to the early Holocene reflects the shutdown of AAIW injection from the Southern Ocean into the BUS, causing upwelled waters to become reduced in silicate, hence less favourable for diatom production. The deglaciation and early Holocene are characterised by the replacement of the upwelling-associated flora by a non-upwelling-related diatom community, reflecting weakened upwelling, retraction of the seaward extension of the chlorophyll filament off Luderitz, and dominance of warmer waters. Copyright (C) 2003 John Wiley Sons, Ltd.</t>
  </si>
  <si>
    <t>Univ Bremen, Dept Geosci, D-28334 Bremen, Germany; Univ Bordeaux 1, Dept Geol &amp; Oceanog, F-33405 Talence, France</t>
  </si>
  <si>
    <t>University of Bremen; Universite de Bordeaux</t>
  </si>
  <si>
    <t>Univ Bremen, Dept Geosci, POB 33 04 40, D-28334 Bremen, Germany.</t>
  </si>
  <si>
    <t>oromero@uni-bremen.de</t>
  </si>
  <si>
    <t>Mollenhauer, Gesine/B-5190-2015; Mollenhauer, Gesine/AAD-8167-2019; Wefer, Gerold/S-2291-2016</t>
  </si>
  <si>
    <t>Mollenhauer, Gesine/0000-0001-5138-564X; Mollenhauer, Gesine/0000-0001-5138-564X; Wefer, Gerold/0000-0002-6803-2020; Schneider, Ralph/0000-0003-1453-9181</t>
  </si>
  <si>
    <t>0267-8179</t>
  </si>
  <si>
    <t>1099-1417</t>
  </si>
  <si>
    <t>J QUATERNARY SCI</t>
  </si>
  <si>
    <t>J. Quat. Sci.</t>
  </si>
  <si>
    <t>10.1002/jqs.789</t>
  </si>
  <si>
    <t>758VA</t>
  </si>
  <si>
    <t>WOS:000187670300005</t>
  </si>
  <si>
    <t>Bell, JJ; Barnes, DKA; Shaw, C; Heally, A; Farrell, A</t>
  </si>
  <si>
    <t>Seasonal 'fall out' of sessile macro-fauna from submarine cliffs: quantification, causes and implications</t>
  </si>
  <si>
    <t>CORAL; MORTALITY; REEF; REPRODUCTION; COMMUNITIES; TEMPERATE; STABILITY; MOVEMENT; IRELAND; GROWTH</t>
  </si>
  <si>
    <t>Submarine cliffs are typically crowded with sessile organisms, most of which are ultimately exported downwards. Here we report a 24 month study of benthic fauna dropping from such cliffs at sites of differing cliff angle and flow rates at Lough Hyne Marine Nature Reserve, Co. Cork, Ireland. The magnitude of 'fall out' material collected in capture nets was highly seasonal and composed of sessile and mobile elements. Sponges, ascidians, cnidarians, polychaetes, bryozoans and barnacles dominated the sessile forms. The remainder (mobile fauna) were scavengers and predators such as asteroid echinoderms, gastropod molluscs and malacostracan crustaceans. These were probably migrants targeting fallen sessile organisms. 'Fall out' material (including mobile forms) increased between May and August in both years. This increase in 'fall out' material was correlated with wrasse abundance at the cliffs (with a one month lag period). The activities of the wrasse on the cliffs (feeding, nest building and territory defence) were considered responsible for the majority of 'fall out' material, with natural mortality and the activity of other large mobile organisms (e.g. crustaceans) also being triplicated. Current flow rate and cliff profile were important in amount of 'fall out' material collected. In low current situations export of fallen material was vertical, while both horizontal and vertical export was associated with moderate to high current environments. Higher 'fall out' was associated with overhanging than vertical cliff surfaces. The 'fall out' of marine organisms in low current situations is likely to provide ail important source of nutrition in close proximity to the cliff, in an otherwise impoverished soft sediment habitat. However, in high current areas material will be exported some distance from the source, with final settlement again occurring in soft sediment habitats (as current speed decreases).</t>
  </si>
  <si>
    <t>Natl Univ Ireland Univ Coll Cork, Dept Zool &amp; Anim Ecol, Lee Maltings, Co Cork, Ireland; British Antarctic Survey, Cambridge CB3 0ET, England</t>
  </si>
  <si>
    <t>University College Cork; UK Research &amp; Innovation (UKRI); Natural Environment Research Council (NERC); NERC British Antarctic Survey</t>
  </si>
  <si>
    <t>Univ Reading, Sch Anim &amp; Microbial Sci, POB 228, Reading RG6 6AJ, Berks, England.</t>
  </si>
  <si>
    <t>j.bell@reading.ac.uk</t>
  </si>
  <si>
    <t>Bell, James/0000-0001-9996-945X</t>
  </si>
  <si>
    <t>10.1017/S002531540300849X</t>
  </si>
  <si>
    <t>773UH</t>
  </si>
  <si>
    <t>WOS:000188941800002</t>
  </si>
  <si>
    <t>Schmidt, R; Bone, Y</t>
  </si>
  <si>
    <t>Biogeography of Eocene bryozoans from the St Vincent Basin, South Australia</t>
  </si>
  <si>
    <t>LETHAIA</t>
  </si>
  <si>
    <t>International-Palaeontological-Congress</t>
  </si>
  <si>
    <t>JUL 10-16, 2002</t>
  </si>
  <si>
    <t>MACQUARIE UNIV, SYDNEY, AUSTRALIA</t>
  </si>
  <si>
    <t>MACQUARIE UNIV</t>
  </si>
  <si>
    <t>biogeography; Bryozoa; endemism; Eocene; South Australia</t>
  </si>
  <si>
    <t>SEA; SEDIMENTATION</t>
  </si>
  <si>
    <t>The first extensive and stratigraphically detailed taxonomic study of the Middle to Late Eocene Bryozoa of the St Vincent Basin has identified more than 200 species of Cheilostomata and 50 species of Cyclostomata. There are three biogeographic groups: basin endemic, Australian and global. Two-thirds (116) of the cheilostome species and seven genera are currently considered endemic to this basin. Most species are endemic to Australia and similar to those found in the Oligo-Miocene of Victoria. The Cellariidae are a common component of most Australian Cainozoic deposits, but the species are highly dissimilar, with 13 of the 17 species here being new. The global component indicates that biogeographic links with regions outside Australia still existed in the Eocene. The cyclostome genus Reticrescis is only known from the Australian and Antarctic Eocene. Ten genera have their first occurrence in the Eocene St Vincent Basin. The Phidoloporidae and Smittinidae represent the most diverse and ubiquitous groups at a geological time close to their time of origination. Contemporaneous sediments in Antarctica, eastern Europe and North America also have a diverse fauna of this family, pointing to a strong Tethyan link. Rhamphosmittina lateralis (MacGillivray) is still extant in New Zealand, having an exceptionally long time range of 40 million years. Overall, the fauna has a distinct Late Cretaceous character. A new genus of Onychocellidae appears similar to genera that were common in Cretaceous Tethyan faunas but rare during the Cainozoic. This similarity ends in the Oligocene, after which the Australian bryozoan became endemic.</t>
  </si>
  <si>
    <t>Museum Victoria, Melbourne, Vic, Australia; Univ Adelaide, Dept Geol &amp; Geophys, Adelaide, SA 5001, Australia</t>
  </si>
  <si>
    <t>Museum Victoria; University of Adelaide</t>
  </si>
  <si>
    <t>Schmidt, R (corresponding author), Museum Victoria, Melbourne, Vic, Australia.</t>
  </si>
  <si>
    <t>rschmid@museum.vic.gov.au</t>
  </si>
  <si>
    <t>Schmidt, Rolf/E-6178-2015</t>
  </si>
  <si>
    <t>Schmidt, Rolf/0000-0002-1341-454X</t>
  </si>
  <si>
    <t>0024-1164</t>
  </si>
  <si>
    <t>1502-3931</t>
  </si>
  <si>
    <t>Lethaia</t>
  </si>
  <si>
    <t>10.1080/00241160310006394</t>
  </si>
  <si>
    <t>757JU</t>
  </si>
  <si>
    <t>WOS:000187559900007</t>
  </si>
  <si>
    <t>Kawaguchi, S; Nicol, S</t>
  </si>
  <si>
    <t>Understanding living krill for improved management and stock assessment</t>
  </si>
  <si>
    <t>MARINE AND FRESHWATER BEHAVIOUR AND PHYSIOLOGY</t>
  </si>
  <si>
    <t>Natl Res Inst Far Sea Fisheries, Shimizu, Shizuoka 4248633, Japan; Australian Antarctic Div, Kingston, Tas 7050, Australia</t>
  </si>
  <si>
    <t>Japan Fisheries Research &amp; Education Agency (FRA); Australian Antarctic Division</t>
  </si>
  <si>
    <t>Kawaguchi, S (corresponding author), Natl Res Inst Far Sea Fisheries, Shimizu, Shizuoka 4248633, Japan.</t>
  </si>
  <si>
    <t>0091-181X</t>
  </si>
  <si>
    <t>MAR FRESHW BEHAV PHY</t>
  </si>
  <si>
    <t>Mar. Freshw. Behav. Physiol.</t>
  </si>
  <si>
    <t>10.1080/10236240310001614853</t>
  </si>
  <si>
    <t>762QV</t>
  </si>
  <si>
    <t>WOS:000187994400001</t>
  </si>
  <si>
    <t>Understanding living krill for improved management and stock assessment - Preface</t>
  </si>
  <si>
    <t>Australian Antarctic Div, Kingston, Tas, Australia</t>
  </si>
  <si>
    <t>Kawaguchi, S (corresponding author), Australian Antarctic Div, Channel Highway, Kingston, Tas, Australia.</t>
  </si>
  <si>
    <t>1023-6244</t>
  </si>
  <si>
    <t>1029-0362</t>
  </si>
  <si>
    <t>10.1080/1023624031001619975</t>
  </si>
  <si>
    <t>WOS:000187994400002</t>
  </si>
  <si>
    <t>Nicol, S</t>
  </si>
  <si>
    <t>Living krill, zooplankton and experimental investigations: A discourse on the role of krill and their experimental study in marine ecology</t>
  </si>
  <si>
    <t>International Workshop on Understanding Living Krill for Improved Management and Stock Assessment</t>
  </si>
  <si>
    <t>OCT 01-04, 2002</t>
  </si>
  <si>
    <t>NAGOYA, JAPAN</t>
  </si>
  <si>
    <t>krill; euphausiid; zooplankton; sampling; krill experimentation</t>
  </si>
  <si>
    <t>EUPHAUSIID MEGANYCTIPHANES-NORVEGICA; DAYTIME SURFACE SWARMS; ANTARCTIC KRILL; POPULATION-STRUCTURE; GENETIC DIFFERENTIATION; VERTICAL MIGRATION; SOUTH GEORGIA; SUPERBA; BEHAVIOR; CRUSTACEA</t>
  </si>
  <si>
    <t>Krill occupy critical positions in a many marine ecosystems and have been the subject of a number of concerted studies yet there are large areas of their biology that still remain a mystery. Most species of krill are open ocean animals, which makes direct observation and sampling difficult. Krill also exhibit a number of physiological and behavioural attributes which frustrate attempts to understand their life history. Krill are conceptually difficult to come to terms with; they are obviously different from larger marine organisms such as squid, fish, whales and fish yet they are also quite distinct from those animals classed as zooplankton such as copepods. Despite these differences they have most often been grouped with zooplankton and have been studied using techniques developed for animals which are orders of magnitude smaller than they. This mismatch has affected our view of their interactions with the physical world and also affects their perceived trophic interactions. Their size and mobility also interferes with our ability to sample them effectively and thus to develop our appreciation of their true role in the marine ecosystem. Understanding how intermediate-sized animals, such as krill, function in aquatic ecosystem is critical to better management of the marine environment.</t>
  </si>
  <si>
    <t>Australian Antarctic Div, Antarctic Marine Living Resources Program, Kingston, Tas 7050, Australia</t>
  </si>
  <si>
    <t>Australian Antarctic Div, Antarctic Marine Living Resources Program, Channel Highway, Kingston, Tas 7050, Australia.</t>
  </si>
  <si>
    <t>Steve.nicol@aad.gov.au</t>
  </si>
  <si>
    <t>10.1080/10236240310001614420</t>
  </si>
  <si>
    <t>WOS:000187994400003</t>
  </si>
  <si>
    <t>Ross, RM; Quetin, LB</t>
  </si>
  <si>
    <t>Working with living krill - The people and the places</t>
  </si>
  <si>
    <t>Antarctic; krill; history; field studies; laboratory studies; technology; holding; transporting</t>
  </si>
  <si>
    <t>EUPHAUSIA-SUPERBA DANA; ANTARCTIC KRILL; ENERGY BUDGETS; MOLT CYCLE; GROWTH; BEHAVIOR; SHRINKAGE; SUMMER; CARBON; WINTER</t>
  </si>
  <si>
    <t>The fascination of Antarctic scientists with Antarctic krill and their capabilities has a long and varied history, and prompted many scientists to maintain and manipulate krill under laboratory conditions. Starting in the Discovery era with Mackintosh at the King Edward Point labs on South Georgia, 1930, scientists have collected krill from sailing vessels, small boats, inflatable zodiacs and large ice-breaking vessels. Krill have been maintained in small and large jars, deep rectangular tanks, large round tanks and in flow-through and recycling systems. They have been maintained both on board research vessels and in laboratories, in flowing seawater systems at ambient conditions and in temperature-controlled environmental rooms. A few researchers have transported living krill back to their home laboratories, for example tropical laboratories in Japan (Murano) and Australia (Ikeda), temperate laboratories (Nicol) in Australia, a northern European laboratory in Germany (Marschall) and a sunny maritime laboratory in California (Ross and Quetin). The goals have been varied: short-term experiments to understand in situ physiological rates, long-term experiments to test the effects of manipulations or controlled changes in environmental conditions, and behavioral responses. We take you on a brief historical tour as we trace the lineage of modern day research on living Antarctic krill.</t>
  </si>
  <si>
    <t>Univ Calif Santa Barbara, Inst Marine Sci, Santa Barbara, CA 93106 USA</t>
  </si>
  <si>
    <t>Ross, RM (corresponding author), Univ Calif Santa Barbara, Inst Marine Sci, Santa Barbara, CA 93106 USA.</t>
  </si>
  <si>
    <t>robin@icess.ucsb.edu</t>
  </si>
  <si>
    <t>10.1080/10236240310001623385</t>
  </si>
  <si>
    <t>WOS:000187994400004</t>
  </si>
  <si>
    <t>Buchholz, F</t>
  </si>
  <si>
    <t>Experiments on the physiology of Southern and Northern krill, Euphausia superba and Meganyctiphanes norvegica, with emphasis on moult and growth -: A review</t>
  </si>
  <si>
    <t>krill; Euphausia superba; Meganyctiphanes norvegica; physiology; moulting; growth; laboratory experiments; field experiments; swarming; schooling</t>
  </si>
  <si>
    <t>VERTICAL MIGRATION BEHAVIOR; ANTARCTIC KRILL; TROPHIC RELATIONSHIPS; POPULATION-STRUCTURE; LIPID-COMPOSITION; MYSIS-MIXTA; CLYDE SEA; CRUSTACEA; CYCLE; REPRODUCTION</t>
  </si>
  <si>
    <t>Physiological data are needed for life history studies on krill, and as parameters for input into energy budgets and models. In conjunction with moult and growth data, these may also prove useful for assessing the fishable biomass of krill. Here, the development of physiological concepts in experimental krill research is briefly evaluated, with emphasis on the gaps to be filled. Krill growth is very flexible, as well as strongly temperature and nutrition dependent. The polar Antarctic krill Euphausia superba grows as fast as the boreal species Meganyctiphanes norvegica , at least during the first 2.5 years, and the species are comparable in terms of physiological plasticity. Accordingly, as krill appear to adjust quickly to specific laboratory conditions, short-term experiments are essential if field conditions are to be reflected as closely as possible. Furthermore, direct comparisons between laboratory experiments and swarming studies in the field are advantageous. For these, M. norvegica is particularly well-suited, as swarms can be followed over longer times and more easily than in E. superba . For example, processes of moult and reproduction were found to be highly coordinated in swarms and populations of Northern krill. For this species a conceptual model of reproduction was developed based on a combination of short-term laboratory observations coupled with field data on moult and ovary stages. In further physiological experiments krill should be studied as groups when swarming. Using proxies, that is applying physiological and/or biochemical methods side by side, is a promising way to enhance the reliability of life history data.</t>
  </si>
  <si>
    <t>Fdn Polar &amp; Marine Res, Biol Anstalt Helgoland, Alfred Wegener Inst, D-27483 Helgoland, Germany</t>
  </si>
  <si>
    <t>Buchholz, F (corresponding author), Fdn Polar &amp; Marine Res, Biol Anstalt Helgoland, Alfred Wegener Inst, Marine Stn, D-27483 Helgoland, Germany.</t>
  </si>
  <si>
    <t>fbuchholz@awi-bremerhaven.de</t>
  </si>
  <si>
    <t>10.1080/10236240310001623376</t>
  </si>
  <si>
    <t>WOS:000187994400005</t>
  </si>
  <si>
    <t>Hirano, Y; Matsuda, T</t>
  </si>
  <si>
    <t>Antarctic krill breeding facilities at port of Nagoya Public Aquarium</t>
  </si>
  <si>
    <t>krill; holding facilities; water quality; bacterial control; long-term viability; aquaculture</t>
  </si>
  <si>
    <t>EUPHAUSIA-SUPERBA DANA</t>
  </si>
  <si>
    <t>Antarctic fishes and invertebrates, including Antarctic krill, are generally stenothermal, and it is necessary to maintain water temperature about 0degreesC to keep them in good condition. Because the effects of nitrifying bacteria are limited by the extremely low temperature of about 0degreesC, biological filtration does not keep up with the deterioration of water quality resulting from the excrement of animals and un-eaten food. It is therefore necessary to exchange seawater frequently in our present cold-water aquarium. We developed a new system at Port of Nagoya Public Aquarium (PNPA) that keeps Antarctic marine animals in good condition. The improved system increases the temperature of sea water to 10degreesC prior to biological filtration and thereby increases the effectiveness of the biological filter. The krill-rearing container was constructed inside the main tank so that the water flow inside the rearing container could be stopped. This avoids a rapid reduction of phytoplankton feed due to turnover of the seawater in the system while krill were fed. As a result of these improvements, long-term rearing, mass culture and reproduction of Antarctic krill are possible. We have exhibited Antarctic marine animals since the opening of PNPA in 1992, and we have exhibited Antarctic krill continuously since 1997. In this article, we detail the Antarctic krill breeding facilities at PNPA.</t>
  </si>
  <si>
    <t>Port Nagoya Publ Aquarium, Minato Ku, Nagoya, Aichi 4550033, Japan</t>
  </si>
  <si>
    <t>Matsuda, T (corresponding author), Port Nagoya Publ Aquarium, Minato Ku, 1-3 Minato Machi, Nagoya, Aichi 4550033, Japan.</t>
  </si>
  <si>
    <t>t-matsuda@nagoyaaqua.or.jp</t>
  </si>
  <si>
    <t>10.1080/10236240310001623637</t>
  </si>
  <si>
    <t>WOS:000187994400006</t>
  </si>
  <si>
    <t>Hirano, Y; Matsuda, T; Kawaguchi, S</t>
  </si>
  <si>
    <t>Breeding Antarctic krill in captivity</t>
  </si>
  <si>
    <t>aquaculture; krill; Euphausia superba; maturation; spawning; hatching; controlled photoperiod; enriched food</t>
  </si>
  <si>
    <t>EUPHAUSIA-SUPERBA; GROWTH; CRUSTACEA; FECUNDITY; SHRINKAGE; CYCLES; BAY</t>
  </si>
  <si>
    <t>Antarctic krill were maintained in large aquaria at Port of Nagoya Aquarium, Japan, under controlled photoperiod and were fed on phytoplankton and enriched animal feed. Maturation and spawning were induced after the light : dark (L : D) cycle was increased from 8 : 16 or 12 : 12 to 24 : 0, or when the L : D cycle was held constant at 14 : 10. This study is one of the first studies that demonstrate initiation of maturation and spawning events of krill under controlled photoperiod. Out of three experimental batches of krill, a total of 28 spawning events were observed. The mean number of eggs per event was 1424 with a range between 139 and 3458. The mean hatching success per batch was 19.1%. The relation between photoperiod and maturity/spawning is discussed. Furthermore, hatching is compared to previous studies and the reason for the low success is discussed.</t>
  </si>
  <si>
    <t>Port Nagoya Publ Aquarium, Minato Ku, Nagoya, Aichi 4550033, Japan; Natl Res Inst Far Seas Fisheries, Shimizu, Shizuoka 4248633, Japan</t>
  </si>
  <si>
    <t>Japan Fisheries Research &amp; Education Agency (FRA)</t>
  </si>
  <si>
    <t>10.1080/10236240310001614448</t>
  </si>
  <si>
    <t>WOS:000187994400007</t>
  </si>
  <si>
    <t>King, R; Nicol, S; Cramp, P; Swadling, KM</t>
  </si>
  <si>
    <t>Krill maintenance and experimentation at the Australian Antarctic Division</t>
  </si>
  <si>
    <t>Euphausia superba; laboratory rearing; schooling; oxygen; ammonia; water quality</t>
  </si>
  <si>
    <t>EUPHAUSIA-SUPERBA DANA; PLANKTONIC ANIMALS; LIGHT TRAP; GROWTH; ICE; SEA</t>
  </si>
  <si>
    <t>Live Antarctic krill, Euphausia superba , have been maintained for experimental purposes at the Australian Antarctic Division since 1981. This population has been replenished on an annual basis with animals taken from the wild. Techniques used to capture and maintain live krill are discussed here, with particular reference given to the development of systems for their maintenance. Details are also provided for specific experimental systems that have been used to conduct research into the behaviour and physiology of krill both at-sea and in shore-based laboratories.</t>
  </si>
  <si>
    <t>Australian Antarctic Div, Kingston, Tas 7050, Australia; Univ Tasmania, Sch Zool, Hobart, Tas 7001, Australia</t>
  </si>
  <si>
    <t>Nicol, S (corresponding author), Australian Antarctic Div, Channel Highway, Kingston, Tas 7050, Australia.</t>
  </si>
  <si>
    <t>Steve.Nicol@aad.gov.au</t>
  </si>
  <si>
    <t>Swadling, Kerrie/0000-0002-7620-841X; King, Robert/0000-0002-4650-2335</t>
  </si>
  <si>
    <t>10.1080/10236240310001614457</t>
  </si>
  <si>
    <t>WOS:000187994400008</t>
  </si>
  <si>
    <t>Finley, LA; Nicol, S; MacMillan, DL</t>
  </si>
  <si>
    <t>The effectiveness of a bubble curtain for preventing physical damage to Antarctic krill in captivity</t>
  </si>
  <si>
    <t>krill; laboratory culture; holding tank; bubble curtain; antennae; injury</t>
  </si>
  <si>
    <t>EUPHAUSIA-SUPERBA; HUMPBACK WHALE; BEHAVIOR; SHIPS</t>
  </si>
  <si>
    <t>Krill in captivity endure spatial restrictions, regardless of the size or shape of tank used. Visual inspection of freshly caught and captive animals suggests that their appendages, particularly the antennae and antennules, are often subject to injury. We have developed a novel method for reducing physical damage to captive krill based on their reported reaction to feeding whales. This method involves creating a bubble curtain that keeps the krill in the centre of the tank and away from potentially damaging hard surfaces. There was no difference in the length of the antennae between any of the captive animals. Trends in the data suggest that the antennules of krill maintained in a 200 L bubble curtain tank and a1000 L holding tank, were longer and less variable in length, than for krill in a 200 L tank with no bubble curtain. Freshly caught krill from the field were found to have damage to both antennae and antennules. The implications of these findings for husbandry of krill and for behavioural studies in the laboratory are discussed.</t>
  </si>
  <si>
    <t>Australian Antarctic Div, Kingston, Tas 7050, Australia; Univ Melbourne, Dept Zool, Melbourne, Vic 3010, Australia</t>
  </si>
  <si>
    <t>Australian Antarctic Division; University of Melbourne; Melbourne Bioinformatics</t>
  </si>
  <si>
    <t>Finley, LA (corresponding author), Australian Antarctic Div, Channel Highway, Kingston, Tas 7050, Australia.</t>
  </si>
  <si>
    <t>luke.finley@aad.gov.au</t>
  </si>
  <si>
    <t>10.1080/10236240310001614411</t>
  </si>
  <si>
    <t>WOS:000187994400009</t>
  </si>
  <si>
    <t>Shin, HC; Nicol, S; King, RA</t>
  </si>
  <si>
    <t>Nucleic acid content as a potential growth rate estimator of Antarctic krill; Results from field-caught krill from the Indian sector of the Southern Ocean</t>
  </si>
  <si>
    <t>Antarctic krill; RNA; DNA; growth rate; nutritional status; moult</t>
  </si>
  <si>
    <t>EUPHAUSIA-SUPERBA DANA; JUVENILE WHITE SHRIMP; FOOD AVAILABILITY; PENAEUS-VANNAMEI; RNA/DNA RATIOS; MOLT CYCLE; RNA; LARVAE; SIZE; FISH</t>
  </si>
  <si>
    <t>Nucleic acid contents of tissue were determined from field-caught Antarctic krill to determine whether they could be used as an alternative estimator of individual growth rates which can currently only be obtained by labour intensive on-board incubations. Krill from contrasting growth regimes from early and late summer exhibited differences in RNA-based indices. There was a significant correlation between the independently measured individual growth rates and the RNA : DNA ratio and also the RNA concentration of krill tissue, although the strength of the relationship was only modest. DNA concentration, on average, was relatively constant, irrespective of the growth rates. The moult stage did not appear to have a significant effect on the nucleic acid contents of tissue. Overall, the amount of both nucleic acids varied considerably between individuals. Nucleic acid-based indicators may provide information concerning the recent growth and nutritional status of krill and further experimentation under controlled conditions is warranted. They are, however, reasonably costly and time-consuming measurements.</t>
  </si>
  <si>
    <t>Univ Tasmania, Inst Antarctic &amp; So Ocean Studies, Hobart, Tas 7001, Australia; Australian Antarctic Div, Antarctic Marine Living Resources Program, Kingston, Tas 7050, Australia</t>
  </si>
  <si>
    <t>Shin, HC (corresponding author), Korea Ocean Res &amp; Dev Inst, Polar Sci Lab, Ansan POB 29, Seoul 425600, South Korea.</t>
  </si>
  <si>
    <t>hcshin@kordi.re.kr</t>
  </si>
  <si>
    <t>King, Robert/0000-0002-4650-2335</t>
  </si>
  <si>
    <t>10.1080/10236240310001614402</t>
  </si>
  <si>
    <t>WOS:000187994400010</t>
  </si>
  <si>
    <t>Yen, J; Brown, J; Webster, DR</t>
  </si>
  <si>
    <t>Analysis of the flow field of the krill, Euphausia pacifica</t>
  </si>
  <si>
    <t>krill; Euphausia pacifica; flow field; particle image velocimetry; PIV; pleopods; hydrodynamics</t>
  </si>
  <si>
    <t>ANTARCTIC KRILL; VERTICAL MIGRATION; SWIMMING BEHAVIOR; ESCAPE RESPONSES; SOUTH-GEORGIA; SUPERBA; ZOOPLANKTON; CRUSTACEANS; SWARMS; AGGREGATION</t>
  </si>
  <si>
    <t>Velocity measurements were performed for the flow field generated by tethered krill Euphausia pacifica . The particle image velocimetry (PIV) technique was used to measure the velocity field in vertical planes aligned with the krill body axis. The krill generates a narrow jet-like flow behind and below the pleopods (roughly 25degrees below horizontal). The volume of fluid moving at greater than 10% of the maximum velocity near the pleopods is roughly 18 times larger than the volume of the krill. Thus, the hydrodynamic disturbance occupies a significantly larger region than the animal body. Other krill, sensing the flow disturbance, may take advantage of the flow induced by a neighbor to locate a mate or to draft for efficient propulsion.</t>
  </si>
  <si>
    <t>Georgia Inst Technol, Sch Biol, Atlanta, GA 30332 USA; Georgia Inst Technol, Sch Civil &amp; Environm Engn, Atlanta, GA 30332 USA</t>
  </si>
  <si>
    <t>University System of Georgia; Georgia Institute of Technology; University System of Georgia; Georgia Institute of Technology</t>
  </si>
  <si>
    <t>Yen, J (corresponding author), Georgia Inst Technol, Sch Biol, Atlanta, GA 30332 USA.</t>
  </si>
  <si>
    <t>jeannette.yen@biology.gatech.edu</t>
  </si>
  <si>
    <t>Webster, Donald/B-1905-2009</t>
  </si>
  <si>
    <t>10.1080/10236240310001614439</t>
  </si>
  <si>
    <t>WOS:000187994400011</t>
  </si>
  <si>
    <t>Kring, DA; Gleason, JD; Swindle, TD; Nishiizumi, K; Caffee, MW; Hill, DH; Jull, AJT; Boynton, WV</t>
  </si>
  <si>
    <t>Composition of the first bulk melt sample from a volcanic region of Mars: Queen Alexandra Range 94201</t>
  </si>
  <si>
    <t>Workshop on Unmixing the SNCs</t>
  </si>
  <si>
    <t>OCT 11-13, 2002</t>
  </si>
  <si>
    <t>LUNAR &amp; PLANETARY INST, HOUSTON, TX</t>
  </si>
  <si>
    <t>LUNAR &amp; PLANETARY INST</t>
  </si>
  <si>
    <t>NOBLE-GASES; SHOCK METAMORPHISM; TRACE-ELEMENTS; PARENT MAGMA; RANGE 94201; METEORITE; PETROGENESIS; PETROGRAPHY; SHERGOTTY; CHEMISTRY</t>
  </si>
  <si>
    <t>Antarctic meteorite Queen Alexandra Range (QUE) 94201 is a 12 g basaltic achondrite dominated by plagioclase (now maskelynite) and zoned low- and high-Ca pyroxene. Petrologic, geochemical, and isotopic analyses indicate that it is related to previously described basaltic and lherzolitic shergottites, which are a group of igneous meteorites that are believed to be from Mars. Unlike previous shergottites, however, QUE 94201 represents a bulk melt rather than a cumulate fraction, meaning it can be used to infer magmatic source regions and the compositions of other melts on Mars. This melt has much more Fe and P than basaltic melts produced on Earth and formed at a much lower oxygen fugacity. This has altered the crystallization sequence of the melt, removing olivine from the liquidus to produce a plagioclase and 2-pyroxene assemblage. If the high-phosphorus and low-oxygen fugacity conditions represented by QUE 94201 are common in magmatic regions of Mars, then olivine may be rare in martian basalts. No solar cosmic ray effects were seen in the concentrations of Be-10, Al-26, and Cl-36 with depth in the meteorite, implying at least 3 cm of ablation during entry to Earth. Significant excesses of neutron capture noble gas isotopes ((80,) Kr-82 and Xe-128,Xe- 131) suggest that the QUE 94201 sample came from a depth &gt;22 cm in a meteoroid of at least that radius. The meteorite also has very low Ne-21/Ne-22, which would often be interpreted to mean little ablation (contradicting above evidence) but, in this case, appears to reflect a very low abundance of Mg (the principal target element for Ne) in the meteorite, consistent with our bulk chemical analyses. The meteorite has a terrestrial Cl-36 age of 0.29 +/- 0.05 Myr and a Be-10 exposure age of 2.6 +/- 0.5 Myr in a 4pi geometry, implying an ejection age of 2.9 +/- 0.5 Myr.</t>
  </si>
  <si>
    <t>Univ Arizona, Lunar &amp; Planetary Lab, Tucson, AZ 85721 USA; Univ Michigan, Dept Geol Sci, Ann Arbor, MI 48109 USA; Univ Calif Berkeley, Space Sci Lab, Berkeley, CA 94720 USA; Purdue Univ, Dept Phys, PRIME Lab, W Lafayette, IN 47906 USA; Univ Arizona, NSF Arizona Accelerator Mass Spectrometer Facil, Tucson, AZ 85721 USA</t>
  </si>
  <si>
    <t>University of Arizona; University of Michigan System; University of Michigan; University of California System; University of California Berkeley; Purdue University System; Purdue University; National Science Foundation (NSF); University of Arizona</t>
  </si>
  <si>
    <t>Univ Arizona, Lunar &amp; Planetary Lab, 1629 E Univ Blvd, Tucson, AZ 85721 USA.</t>
  </si>
  <si>
    <t>kring@lpl.arizona.edu</t>
  </si>
  <si>
    <t>Kring, David A/D-5912-2011</t>
  </si>
  <si>
    <t>10.1111/j.1945-5100.2003.tb00018.x</t>
  </si>
  <si>
    <t>771TQ</t>
  </si>
  <si>
    <t>WOS:000188802500009</t>
  </si>
  <si>
    <t>Friedrich, O; Meier, KJS</t>
  </si>
  <si>
    <t>Stable isotopic indication for the cyst formation depth of Campanian/Maastrichtian calcareous dinoflagellates</t>
  </si>
  <si>
    <t>MICROPALEONTOLOGY</t>
  </si>
  <si>
    <t>SOUTH ATLANTIC-OCEAN; PLANKTONIC-FORAMINIFERA; SEA; RISE</t>
  </si>
  <si>
    <t>delta(18)O and delta(13)C values for the calcareous dinoflagellate species Orthopithonella? globosa (Futterer 1984) Lentin and Williams 1985 and Pirumella krasheninnikovii (Bolli 1974) Lentin and Williams 1993 from latest Campanian and earliest Maastrichtian of ODP Hole 690C (Weddell Sea, Antarctic Ocean) have been studied in order to evaluate the species' depth habitat in the water column and their applicability in paleoceanographic studies. The calcareous dinoflagellates show isotopic values comparable to probably shallow-dwelling planktic foraminifera from the same samples in delta(18)O, but have an offset of about -5parts per thousand to -7parts per thousand, in delta(13)C. This suggests that calcareous dinoflagellate oxygen isotopes may provide information for paleoceanographic reconstructions of sea-surface water temperatures, whereas their extremely light carbon isotope values are probably due to photosynthetic processes.</t>
  </si>
  <si>
    <t>Univ Tubingen, Inst Geowissensch, D-72076 Tubingen, Germany; Univ Bremen, Fachgebiet Hist Geol &amp; Palaontol, D-28334 Bremen, Germany</t>
  </si>
  <si>
    <t>Eberhard Karls University of Tubingen; University of Bremen</t>
  </si>
  <si>
    <t>Friedrich, O (corresponding author), Bundesanstalt Geowissensch &amp; Rohstoffe, Stilleweg 2, D-30622 Hannover, Germany.</t>
  </si>
  <si>
    <t>oliver.friedrich@bgr.de</t>
  </si>
  <si>
    <t>Meier, K. J. Sebastian/H-7914-2014</t>
  </si>
  <si>
    <t>Meier, K. J. Sebastian/0000-0002-3918-4092</t>
  </si>
  <si>
    <t>MICRO PRESS</t>
  </si>
  <si>
    <t>FLUSHING</t>
  </si>
  <si>
    <t>6530 KISSENA BLVD, FLUSHING, NY 11367 USA</t>
  </si>
  <si>
    <t>0026-2803</t>
  </si>
  <si>
    <t>1937-2795</t>
  </si>
  <si>
    <t>Micropaleontology</t>
  </si>
  <si>
    <t>10.1661/0026-2803(2003)049[0375:SIIFTC]2.0.CO;2</t>
  </si>
  <si>
    <t>762LK</t>
  </si>
  <si>
    <t>WOS:000187973200004</t>
  </si>
  <si>
    <t>Taylor, AJW</t>
  </si>
  <si>
    <t>The spread of Antarctic and South Pacific research behind the 2002 Hunter Award</t>
  </si>
  <si>
    <t>NEW ZEALAND JOURNAL OF PSYCHOLOGY</t>
  </si>
  <si>
    <t>STRESS</t>
  </si>
  <si>
    <t>This article brings together the publications that comprised my successful submission for the New Zealand Psychological Society's 2002 Hunter Award. One publication summarizes a number of projects on human adaptation to Antarctic conditions, and the others relate to stress/trauma assignments in the South Pacific. In comparison with the achievements of the pioneer in whose name the award was established, the collection makes only a slight contribution to the accumulation of knowledge - although the first does happen to be an appeal for the adoption of a general systems theory of which Sir Thomas Hunter might have approved, and the others (concerned with helping people to cope with the-substantial demands imposed on them by different kinds of catastrophe) might not have escaped h attention (Taylor, 2003a).</t>
  </si>
  <si>
    <t>Victoria Univ Wellington, Sch Psychol, Wellington, New Zealand</t>
  </si>
  <si>
    <t>tony.taylor@vuw.ac.nz</t>
  </si>
  <si>
    <t>NEW ZEALAND PSYCHOL SOC</t>
  </si>
  <si>
    <t>BUSINESS MANAGER PO BOX 4092, WELLINGTON, NEW ZEALAND</t>
  </si>
  <si>
    <t>0112-109X</t>
  </si>
  <si>
    <t>1179-7924</t>
  </si>
  <si>
    <t>NEW ZEAL J PSYCHOL</t>
  </si>
  <si>
    <t>N. Z. J. Psychol.</t>
  </si>
  <si>
    <t>Psychology, Multidisciplinary</t>
  </si>
  <si>
    <t>Psychology</t>
  </si>
  <si>
    <t>769MR</t>
  </si>
  <si>
    <t>WOS:000188654300008</t>
  </si>
  <si>
    <t>Paton, D</t>
  </si>
  <si>
    <t>A commentary on A.J.W.!Taylor's The spread of Antarctic and South Pacific research behind the 2002 Hunter Award</t>
  </si>
  <si>
    <t>Univ Tasmania, Sch Psychol, Launceston, Tas 7250, Australia</t>
  </si>
  <si>
    <t>douglas.paton@utas.edu.au</t>
  </si>
  <si>
    <t>Paton, Douglas/0000-0002-8673-2178</t>
  </si>
  <si>
    <t>WOS:000188654300010</t>
  </si>
  <si>
    <t>Garstecki, T; Wickham, SA</t>
  </si>
  <si>
    <t>The response of benthic rhizopods to sediment disturbance does not support the intermediate disturbance hypothesis</t>
  </si>
  <si>
    <t>OIKOS</t>
  </si>
  <si>
    <t>VERTICAL-DISTRIBUTION; COMMUNITY STRUCTURE; DIVERSITY; SEA; RESUSPENSION; PROTISTS; PROTOZOA; RATES; GYMNAMOEBAE; SUCCESSION</t>
  </si>
  <si>
    <t>Disturbance is one of the mechanisms which counteract competitive exclusion of populations in resource-limited communities, thereby facilitating coexistence and maintaining community species diversity. The intermediate disturbance hypothesis predicts maximum diversity at intermediate disturbance intensities and frequencies. This paper reports results of an experimental test of this hypothesis using a coastal benthic community of rhizopods (Protozoa: Rhizopoda), and experimental sediment resuspension as a simulated natural disturbance. We carried out two experiments of 5 d duration which focussed on the effects of resuspension intensity and frequency, respectively, on the abundance, species richness and on the Shannon-Weaver diversity index of rhizopod communities in surface sediments of natural sediment cores from the coastal southern Baltic. Care was taken to adjust the experimental treatments to the natural disturbance regime in this area. Twenty-four and 28 rhizopod species were present during the intensity and frequency experiment, respectively. Small bacterivorous rhizopods of the Vannellidae, Cochliopodidae, Paramoebidae and Rhizopoda incertae sedis dominated the communities during both experiments. Rhizopod abundance, species richness and diversity increased towards the end of the intensity experiment, but they did not show effects of disturbance intensity. Similarly, no effects of disturbance frequency were found during the frequency experiment. Our results indicate that coexistence and community diversity maintenance in benthic rhizopod communities, and probably in benthic heterotrophic protistan communities in general, may rely on different mechanisms than intermediate disturbance, such as trophic niche separation and high rates of dispersal and colonisation.</t>
  </si>
  <si>
    <t>Ernst Moritz Arndt Univ Greifswald, Inst Ecol, D-18565 Kloster, Germany; Univ Cologne, Inst Zool, DE-60923 Cologne, Germany</t>
  </si>
  <si>
    <t>Universitat Greifswald; University of Cologne</t>
  </si>
  <si>
    <t>British Antarctic Survey, Nat Environm Res Council, Madingley Rd, Cambridge CB3 0ET, England.</t>
  </si>
  <si>
    <t>tga@bas.ac.uk</t>
  </si>
  <si>
    <t>0030-1299</t>
  </si>
  <si>
    <t>1600-0706</t>
  </si>
  <si>
    <t>Oikos</t>
  </si>
  <si>
    <t>10.1034/j.1600-0706.2003.12421.x</t>
  </si>
  <si>
    <t>750HU</t>
  </si>
  <si>
    <t>WOS:000186985900009</t>
  </si>
  <si>
    <t>Giordano, CV; Mori, T; Sala, OE; Scopel, AL; Caldwell, MM; Ballaré, CL</t>
  </si>
  <si>
    <t>Functional acclimation to solar UV-B radiation in Gunnera magellanica, a native plant species of southernmost Patagonia</t>
  </si>
  <si>
    <t>PLANT CELL AND ENVIRONMENT</t>
  </si>
  <si>
    <t>cyclobutane-pyrimidine dimer photorepair; ozone depletion; UV-absorbing compounds; UV-B</t>
  </si>
  <si>
    <t>TIERRA-DEL-FUEGO; PYRIMIDINE DIMER REPAIR; ANTARCTIC VASCULAR PLANTS; INDUCED DNA-DAMAGE; OZONE DEPLETION; TERRESTRIAL ECOSYSTEMS; ULTRAVIOLET-RADIATION; ARABIDOPSIS-THALIANA; ALFALFA SEEDLINGS; NATURAL ECOSYSTEM</t>
  </si>
  <si>
    <t>The ecosystems of Tierra del Fuego (in southern Patagonia, Argentina) are seasonally exposed to elevated levels of ultraviolet-B radiation (UV-B: 280-315 nm), due to the passage of the 'ozone hole' over this region. In the experiments reported in this article the effects of solar UV-B and UV-A (315-400 nm) on two UV-B defence-related processes: the accumulation of protective UV-absorbing compounds and DNA repair, were tested. It was found that the accumulation of UV-absorbing sunscreens in Gunnera magellanica leaves was not affected by plant exposure to ambient UV radiation. Photorepair was the predominant mechanism of cyclobutane-pyrimidine dimer (CPD) removal in G. magellanica. Plants exposed to solar UV had higher CPD repair capacity under optimal conditions of temperature (25 degreesC) than plants grown under attenuated UV. There was no measurable repair at 8 degreesC. The rates of CPD repair in G. magellanica plants were modest in comparison with other species and, under equivalent conditions, were about 50% lower than the repair rates of Arabidopsis thaliana (Ler ecotype). Collectively our results suggest that the susceptibility of G. magellanica plants to current ambient levels of solar UV-B in southern Patagonia may be related to a low DNA repair capacity.</t>
  </si>
  <si>
    <t>Consejo Nacl Invest Cient &amp; Tecn, IFEVA, RA-4453 San Martin, Buenos Aires, Argentina; Univ Buenos Aires, RA-4453 San Martin, Buenos Aires, Argentina; Utah State Univ, Dept Rangeland Resources, Logan, UT 84322 USA; Utah State Univ, Ctr Ecol, Logan, UT 84322 USA; Nara Med Univ, RI Ctr, Kashihara, Nara 634, Japan</t>
  </si>
  <si>
    <t>Consejo Nacional de Investigaciones Cientificas y Tecnicas (CONICET); University of Buenos Aires; University of Buenos Aires; Utah System of Higher Education; Utah State University; Utah System of Higher Education; Utah State University; Nara Medical University</t>
  </si>
  <si>
    <t>Ballaré, CL (corresponding author), Consejo Nacl Invest Cient &amp; Tecn, IFEVA, C1417 DSE, RA-4453 San Martin, Buenos Aires, Argentina.</t>
  </si>
  <si>
    <t>Giordano, Cristiana/ABG-1160-2020; Ballare, Carlos/F-5141-2011</t>
  </si>
  <si>
    <t>Giordano, Cristiana/0000-0002-9710-0336; Ballare, Carlos/0000-0001-9129-4531; Giordano, Carla/0000-0001-7298-9725; Sala, Osvaldo/0000-0003-0142-9450; Mori, Toshio/0000-0002-8321-0710</t>
  </si>
  <si>
    <t>0140-7791</t>
  </si>
  <si>
    <t>PLANT CELL ENVIRON</t>
  </si>
  <si>
    <t>Plant Cell Environ.</t>
  </si>
  <si>
    <t>10.1046/j.0016-8025.2003.01120.x</t>
  </si>
  <si>
    <t>750CN</t>
  </si>
  <si>
    <t>WOS:000186973900010</t>
  </si>
  <si>
    <t>McArthur, T; Butler, ECV; Jackson, GD</t>
  </si>
  <si>
    <t>Mercury in the marine food chain in the Southern Ocean at Macquarie Island:: an analysis of a top predator, Patagonian toothfish (Dissostichus eleginoides) and a mid-trophic species, the warty squid (Moroteuthis ingens)</t>
  </si>
  <si>
    <t>NEW-ZEALAND WATERS; STOMACH CONTENTS; ACCUMULATION; ATLANTIC; GEORGIA; FISH; ONYCHOTEUTHIDAE; CEPHALOPODA; CADMIUM; GROWTH</t>
  </si>
  <si>
    <t>The characteristics and habitat of the Patagonian toothfish (Dissostichus eleginoides) are typical of fish that accumulate high concentrations of mercury. In this study, mercury determinations were made on samples of muscle tissue from Macquarie Island toothfish and the Southern Ocean deepwater warty squid (Moroteuthis ingens). The analysis of mercury in the biological tissues was made by cold vapour-atomic absorption spectrometry following acid digestion. Performance of the analytical procedure was assessed by analysis of certified reference material (DORM-2, dogfish muscle). Mercury concentrations of 16 Macquarie Island toothfish ranged from 0.12 mg kg(-1) (550 g, 381 mm TL) to 0.59 mg kg(-1) (6,100 g, 823 mm TL), with a mean concentration of 0.33+/-0.12 mg kg(-1). A significant correlation was found between mercury and either toothfish weight or total length. The fish analysed were juveniles, which suggests that larger individuals would have higher mercury concentrations well exceeding food standard code limits for mercury in fish (typically 0.5 mg kg(-1)). Warty squid, also from around Macquarie Island, had a low mean mercury concentration of 0.086 mg kg(-1) in mantle tissue; no significant correlation existed between mercury concentration and either squid mantle length or total weight. It is postulated that the squid have a mechanism, possibly involving the digestive gland, that prevents bioaccumulation of mercury in the mantle, and presumably other body tissues.</t>
  </si>
  <si>
    <t>Univ Tasmania, Inst Antarctic &amp; So Ocean Studies, Hobart, Tas 7001, Australia; CSIRO Marine Res, Hobart, Tas 7001, Australia; Univ Tasmania, Antarctic CRC, Hobart, Tas 7001, Australia</t>
  </si>
  <si>
    <t>Jackson, GD (corresponding author), Univ Tasmania, Inst Antarctic &amp; So Ocean Studies, POB 252-77, Hobart, Tas 7001, Australia.</t>
  </si>
  <si>
    <t>Butler, Edward/0000-0002-6660-3985</t>
  </si>
  <si>
    <t>10.1007/s00300-003-0560-6</t>
  </si>
  <si>
    <t>752CL</t>
  </si>
  <si>
    <t>WOS:000187129400001</t>
  </si>
  <si>
    <t>Kopczynska, EE; Fiala, M</t>
  </si>
  <si>
    <t>Surface phytoplankton composition and carbon biomass distribution in the Crozet Basin during austral summer of 1999: variability across frontal zones</t>
  </si>
  <si>
    <t>SIZE-FRACTIONATED PHYTOPLANKTON; SOUTH INDIAN-OCEAN; MARGINAL ICE-ZONE; SUBTROPICAL CONVERGENCE; ATLANTIC SECTOR; MICROPHYTOPLANKTON ASSEMBLAGES; SPECIES COMPOSITION; WATER MASSES; MICROZOOPLANKTON; NITROGEN</t>
  </si>
  <si>
    <t>Surface phytoplankton assemblages were studied in January/February 1999 in the Crozet Basin (43degrees50'S-45degrees20'S; 61degreesE-64degrees30'E) between the northern Polar Zone and the Agulhas Front. Cell concentrations increased several fold northwards from the SubAntarctic Zone (SAZ) and reached peak numbers (average 2x10(6) cells l(-l) ) in the central and western Subtropical Zone (STZ). The most spectacular increase in cell numbers occurred at the Subtropical Front (STF) and was attributed to dinoflagellates and diatoms. Nanoflagellates and picoplankton were dominant in the entire area (average 2.8x10(5)-1.6x10(6) cells l(-l)). In the SAZ they were followed by coccolithophorids, dinoflagellates and diatoms. In the STZ coccolithophorids were often outnumbered by dinoflagellates. Diatoms were dominated by Pseudonitzschia delicatissima and were generally the least abundant algae, but reached peak densities of 1.2-4x10(5) cells l(-l) at, and north of the STF. Coccolithophorids contained mainly Emiliania huxleyi, but in the SAZ and STF Gephyrocapsa oceanica was a co-dominant species. Dinoflagellates were dominated by nano-sized species of Gymnodinium, Gyrodinium and Prorocentrum. The numbers of dinoflagellate and coccolithophorid species increased considerably in the convergence zone (STZ), which suggests their in-situ development. Heterotrophic dinoflagellates and ciliates were mainly present in the subtropics. Cell carbon biomass was attributed chiefly to auto- and heterotrophic dinoflagellates (av. 23-72 mug C l(-l); 68-87%), showing their important contribution to the carbon flow. Variations in cell concentrations across the fronts and water masses, and the distribution of major species were most likely controlled by the combined effect of such factors as nutrient renewal in the convergence zone, availability of iron, increased water-column stability at fronts, and high horizontal gradients in surface-water temperature.</t>
  </si>
  <si>
    <t>Polish Acad Sci, Dept Antarctic Biol, PL-02141 Warsaw, Poland; Univ Paris 06, CNRS, UMR 7621, Lab Arago, F-66651 Banyuls sur Mer, France</t>
  </si>
  <si>
    <t>Polish Academy of Sciences; Centre National de la Recherche Scientifique (CNRS); CNRS - National Institute for Earth Sciences &amp; Astronomy (INSU); Sorbonne Universite</t>
  </si>
  <si>
    <t>Polish Acad Sci, Dept Antarctic Biol, Ustrzycka 10-12, PL-02141 Warsaw, Poland.</t>
  </si>
  <si>
    <t>elzbieta@dab.waw.pl</t>
  </si>
  <si>
    <t>10.1007/s00300-003-0564-2</t>
  </si>
  <si>
    <t>WOS:000187129400003</t>
  </si>
  <si>
    <t>van Rensburg, LJ; Chimimba, CT; Bastos, AD; Chown, SL</t>
  </si>
  <si>
    <t>Morphometric measurement selection: an invertebrate case study based on weevils from sub-Antarctic Marion Island</t>
  </si>
  <si>
    <t>SEXUAL SIZE DIMORPHISM; PRINCE-EDWARD-ISLANDS; BODY-SIZE; MEASUREMENT ERROR; CLIMATE-CHANGE; HABITAT USE; HOUSE MICE; CURCULIONIDAE; COLEOPTERA; ECOLOGY</t>
  </si>
  <si>
    <t>A character-selection procedure initially applied in vertebrates (viverrid carnivores and murid rodents), but with a potential, more general application, was used to select appropriate characters for a morphometric investigation of weevils on Marion Island. An initial set of 23 linear measurements, adopted from a previous morphometric study, was subjected to cluster and ordination procedures to summarize patterns of correlations between measurements. Criteria were developed for the selection of representative measurements within cluster analysis-generated sub-clusters, after the exclusion of redundant measurements. This reduced the 23 initial variables to a final set of 15 measurements. The general grouping of variables was broadly consistent across all weevil species examined. Apart from economizing, by reducing the number of characters that have to be measured for subsequent analyses, the procedure also provides a way to adequately represent the phenotype, and to investigate morphological integration.</t>
  </si>
  <si>
    <t>Univ Pretoria, Mammal Res Inst, Dept Zool &amp; Entomol, ZA-0002 Pretoria, South Africa; Univ Stellenbosch, Dept Zool, Spatial Physiol &amp; Conservat Ecol Grp, ZA-7602 Matieland, South Africa</t>
  </si>
  <si>
    <t>University of Pretoria; Stellenbosch University</t>
  </si>
  <si>
    <t>Chimimba, CT (corresponding author), Univ Pretoria, Mammal Res Inst, Dept Zool &amp; Entomol, ZA-0002 Pretoria, South Africa.</t>
  </si>
  <si>
    <t>Chown, Steven L/H-3347-2011; Chimimba, Christian/AAX-4146-2020; Chown, Steven/ABD-7646-2021; Bastos, Armanda/B-6357-2009</t>
  </si>
  <si>
    <t>Bastos, Armanda/0000-0002-9223-4204</t>
  </si>
  <si>
    <t>10.1007/s00300-003-0546-4</t>
  </si>
  <si>
    <t>WOS:000187129400005</t>
  </si>
  <si>
    <t>Casaux, R; Baroni, A; Arrighetti, F; Ramón, A; Carlini, A</t>
  </si>
  <si>
    <t>Geographical variation in the diet of the Antarctic fur seal Arctocephalus gazella</t>
  </si>
  <si>
    <t>SOUTH-SHETLAND-ISLANDS; SUMMER-AUTUMN PERIOD; FISH PREY; ORKNEY ISLANDS; LAURIE ISLAND; HARMONY-POINT; WINTER; PENINSULA; CONSUMPTION; GEORGIA</t>
  </si>
  <si>
    <t>The diet of non-breeding male Antarctic fur seals Arctocephalus gazella was investigated at different localities of the Antarctic Peninsula (Cierva Point and Hope Bay), South Shetland Islands (Deception Island and Potter Peninsula) and the South Orkney Islands (Laurie Island), by the analysis of 438 scats collected from January to March 2000. The composition of the diet was diverse, with both pelagic and benthic-demersal prey represented in the samples. Antarctic krill Euphausia superba was the most frequent and numerous prey at all the study sites except at Cierva Point, followed by fish, penguins and cephalopods. Antarctic krill also predominated by mass, followed by either fish or penguins. Fish were the second most important prey by mass at the Antarctic Peninsula whereas penguins were the second most important prey by mass at the South Shetland and South Orkney Islands. Among fish, Pleuragramma antarcticum was the most important species in the diet of the Antarctic fur seals at the Antarctic Peninsula whereas Gymnoscopelus nicholsi predominated at the South Shetland and South Orkney Islands. The results are compared with previous studies, and the possibility of implementing monitoring studies on the distribution/abundance of myctophids and P. antarcticum based on the analysis of the diet of the Antarctic fur seal is considered.</t>
  </si>
  <si>
    <t>Inst Antartico Argentino, RA-1010 Buenos Aires, DF, Argentina; Consejo Nacl Invest Cient &amp; Tecn, RA-1033 Buenos Aires, DF, Argentina; Univ Buenos Aires, Fac Farm &amp; Bioquim, Catedra Bromatol, RA-1113 Buenos Aires, DF, Argentina; Natl Univ La Plata, Fac Med, RA-1900 La Plata, Argentina</t>
  </si>
  <si>
    <t>Instituto Antartico Argentino; Consejo Nacional de Investigaciones Cientificas y Tecnicas (CONICET); University of Buenos Aires; National University of La Plata</t>
  </si>
  <si>
    <t>10.1007/s00300-003-0554-4</t>
  </si>
  <si>
    <t>747XE</t>
  </si>
  <si>
    <t>WOS:000186830700001</t>
  </si>
  <si>
    <t>Bocher, P; Caurant, F; Miramand, P; Cherel, Y; Bustamante, P</t>
  </si>
  <si>
    <t>Influence of the diet on the bioaccumulation of heavy metals in zooplankton-eating petrels at Kerguelen archipelago, Southern Indian Ocean</t>
  </si>
  <si>
    <t>METALLOTHIONEIN CONCENTRATIONS; ILES-KERGUELEN; CADMIUM CONCENTRATIONS; REPRESENTATIVE FAUNA; MARINE-ENVIRONMENT; FEEDING ECOLOGY; ATLANTIC-OCEAN; PILOT WHALES; FOOD-WEB; SEABIRDS</t>
  </si>
  <si>
    <t>Concentrations of cadmium, mercury, copper and zinc were measured in muscle, kidney and liver tissues and in the main prey of five species of zooplankton-eating petrels: blue petrel (Halobaena caerulea), thin-billed (Pachyptila belcheri) and Antarctic (P. desolata) prions, and South Georgian (Pelecanoides georgicus) and common (Pelecanoides urinatrix) diving petrels. Since some of these species are closely related species with respect to body size, timing of moult and life span, their diet has been examined to evaluate its influence on heavy-metal bioaccumulation. Inter-specific differences were significant for Hg concentrations in the liver and for Zn concentrations in both liver and kidney tissues. Blue petrels exhibited the highest Hg concentrations in the liver (3.9+/-2.02 mug.g(-1) wet weight). No significant differences were found in Cd concentrations between species. Exposure to heavy metals through the most important prey species in the diet during the breeding period was evaluated. The most evident result was the influence of fish prey on Hg levels. Although crustacean species exhibit different cadmium concentrations, the diet composition does not appear to be discriminant for Cd bioaccumulation within the small petrel community at Kerguelen.</t>
  </si>
  <si>
    <t>Univ La Rochelle, Lab Biol &amp; Environm Marins, EA 3168, F-17042 La Rochelle, France; CNRS, UPR 1934, Ctr Etud Biol Chize, F-79360 Villiers En Bois, France</t>
  </si>
  <si>
    <t>La Rochelle Universite; Centre National de la Recherche Scientifique (CNRS)</t>
  </si>
  <si>
    <t>Caurant, F (corresponding author), Univ La Rochelle, Lab Biol &amp; Environm Marins, EA 3168, Ave Michel Crepeau, F-17042 La Rochelle, France.</t>
  </si>
  <si>
    <t>Bond, Alexander L/A-3786-2010; Bustamante, Paco/G-5833-2011</t>
  </si>
  <si>
    <t>Bustamante, Paco/0000-0003-3877-9390</t>
  </si>
  <si>
    <t>10.1007/s00300-003-0552-6</t>
  </si>
  <si>
    <t>WOS:000186830700002</t>
  </si>
  <si>
    <t>Stübing, D; Hagen, W</t>
  </si>
  <si>
    <t>Fatty acid biomarker ratios -: suitable trophic indicators in Antarctic euphausiids?</t>
  </si>
  <si>
    <t>POLAR LIPID CLASSES; PECTEN-MAXIMUS L; MEGANYCTIPHANES-NORVEGICA; ECOLOGICAL IMPLICATIONS; ENERGY BUDGETS; KRILL; SUPERBA; METABOLISM; AMPHIPODS; SEA</t>
  </si>
  <si>
    <t>Fatty-acid biomarkers are frequently used for the identification of trophic relationships among marine zooplankton. We have evaluated the suitability of five fatty-acid ratios [16:0/16:1(n-7), 16:1(n-7)/18:4(n-3), 18:1(n-9)/18:1(n-7), 20:5(n-3)/22:6(n-3), PUFA/SFA] that have been proposed as trophic indicators in the literature. Total lipid content and fatty-acid composition were determined in four Antarctic euphausiid species (Euphausia superba, E. frigida, E. triacantha, Thysanoessa macrura). There is a significant relationship between the lipid content and most of these ratios in the investigated euphausiids. Only the 16:1(n-7)/18:4(n-3) ratio exhibits no clear relationship to total lipids. Further exceptions occur in E. triacantha: the 18:1(n-9)/18:1(n-7) and the 20:5(n-3)/22:6(n-3) ratios are not correlated to the lipid content in this species. There is a weaker correlation between the fatty-acid ratios and the total lipid content in E. superba larvae than in the postlarvae, indicating a stronger dietary influence on the lipids of the younger stages. We conclude that those fatty-acid ratios that strongly depend on an animal's total lipid content (particularly PUFA/SFA), are only of limited use as trophic indices, since total lipid content may vary greatly with factors (such as reproductive processes) that are unrelated to specific feeding preferences.</t>
  </si>
  <si>
    <t>Univ Bremen, D-28334 Bremen, Germany</t>
  </si>
  <si>
    <t>Stübing, D (corresponding author), Univ Bremen, POB 33 04 40, D-28334 Bremen, Germany.</t>
  </si>
  <si>
    <t>stuebing@uni-bremen.de</t>
  </si>
  <si>
    <t>Hagen, Wilhelm/0000-0002-7462-9931; Stubing, Dorothea/0000-0003-1105-754X</t>
  </si>
  <si>
    <t>10.1007/s00300-003-0550-8</t>
  </si>
  <si>
    <t>WOS:000186830700004</t>
  </si>
  <si>
    <t>Hansson, LA; Tranvik, LJ</t>
  </si>
  <si>
    <t>Food webs in sub-Antarctic lakes: a stable isotope approach</t>
  </si>
  <si>
    <t>INTRODUCED REINDEER; TROPHIC STRUCTURE; SOUTH GEORGIA; NITROGEN; CARBON; FRACTIONATION; ABUNDANCE; PATTERNS</t>
  </si>
  <si>
    <t>In order to improve the understanding of food-web interactions in sub-Antarctic freshwater systems, we complemented earlier experimental studies with analyses of differences in stable isotopes (N-15 and C-13) among organisms in two lakes with contrasting productivity. The distribution of the stable isotopes showed that the small copepod Boeckella michaelseni feeds mainly on pelagic POM (particulate organic material), whereas the larger copepod species B. poppei also feeds on benthic algae. Furthermore, the predatory copepod Parabroteas sarsi seems to mainly feed on B. michaelseni, but also on B. poppei and the benthic cladoceran, Alona weineckii. Moreover, stable-isotope data suggest that the diving beetle, Lancetes angusticollis, is not only feeding on B. poppei as indicated from experimental studies, but also on the benthic cladoceran A. weineckii. Although the food webs of the two lakes are very similar, they show considerable differences in the distribution of stable isotopes. We conclude that monitoring, experiments and stable-isotope analysis in combination give a reasonably clear picture of sub-Antarctic freshwater food webs.</t>
  </si>
  <si>
    <t>Lund Univ, Inst Ecol Limnol, S-22362 Lund, Sweden; Uppsala Univ, Evolutionary Biol Ctr, Dept Limnol, S-75236 Uppsala, Sweden</t>
  </si>
  <si>
    <t>Lund University; Uppsala University</t>
  </si>
  <si>
    <t>Lund Univ, Inst Ecol Limnol, Ecol Bldg, S-22362 Lund, Sweden.</t>
  </si>
  <si>
    <t>Lars-Anders.Hansson@limnol.lu.se</t>
  </si>
  <si>
    <t>Tranvik, Lars J/H-2222-2011; Hansson, Lars-Anders/HCI-2735-2022</t>
  </si>
  <si>
    <t>Hansson, Lars-Anders/0000-0002-3035-1317; Tranvik, Lars J./0000-0003-3509-8266</t>
  </si>
  <si>
    <t>10.1007/s00300-003-0553-5</t>
  </si>
  <si>
    <t>WOS:000186830700005</t>
  </si>
  <si>
    <t>Eklund, H</t>
  </si>
  <si>
    <t>First Cretaceous flowers from Antarctica</t>
  </si>
  <si>
    <t>REVIEW OF PALAEOBOTANY AND PALYNOLOGY</t>
  </si>
  <si>
    <t>flowers; angiosperms; Cretaceous; Antarctica; mesofossils</t>
  </si>
  <si>
    <t>GONDWANAN POLAR FORESTS; LIVINGSTON ISLAND; ALEXANDER-ISLAND; FOSSIL FLOWERS; EARLY TERTIARY; REPRODUCTIVE STRUCTURES; LAURACEOUS FLOWERS; BASAL ANGIOSPERMS; FLORAL STRUCTURES; WILLIAMS POINT</t>
  </si>
  <si>
    <t>This work documents the first Cretaceous flowers from Antarctica, and is one of few reports on Cretaceous flowers from the Southern Hemisphere as a whole. The flowers were recovered from a mesofossil assemblage from the Late Cretaceous (late Santonian, ca 85 Ma) Table Nunatak Formation, Antarctic Peninsula. All flowers are small, three-dimensional to slightly flattened and charcoalified. Eleven different types of flowers have been recognised. Five flower-types have a deep and cup-shaped hypanthium and several show features that indicate insect pollination. The systematic affinities of the flowers are difficult to establish with certainty, but three flowers may be related to extant Siparunaceae, Winteraceae and Myrtaceae, respectively. (C) 2003 Elsevier B.V. All rights reserved.</t>
  </si>
  <si>
    <t>Univ Leeds, Sch Earth Sci, Leeds LS2 9JT, W Yorkshire, England</t>
  </si>
  <si>
    <t>Univ Leeds, Sch Earth Sci, Leeds LS2 9JT, W Yorkshire, England.</t>
  </si>
  <si>
    <t>h.eklund@tiscali.se</t>
  </si>
  <si>
    <t>0034-6667</t>
  </si>
  <si>
    <t>1879-0615</t>
  </si>
  <si>
    <t>REV PALAEOBOT PALYNO</t>
  </si>
  <si>
    <t>Rev. Palaeobot. Palynology</t>
  </si>
  <si>
    <t>10.1016/S0034-6667(03)00120-9</t>
  </si>
  <si>
    <t>Plant Sciences; Paleontology</t>
  </si>
  <si>
    <t>754TA</t>
  </si>
  <si>
    <t>WOS:000187346600003</t>
  </si>
  <si>
    <t>Rivera, P; Avaria, S; Cruces, F</t>
  </si>
  <si>
    <t>The family Hemiaulaceae (Bacillariophyceae) from marine Chilean waters</t>
  </si>
  <si>
    <t>REVISTA CHILENA DE HISTORIA NATURAL</t>
  </si>
  <si>
    <t>diatoms; Hemiaulaceae; Chile; morphology; taxonomy</t>
  </si>
  <si>
    <t>SEA ICE EDGE; EUCAMPIA; DIATOMS</t>
  </si>
  <si>
    <t>The Family Hemiaulaceae comprises four genera, all of which have been previously reported for coastal waters off Chile, and represented by the following taxa: Cerataulina pelagica (Cleve) Hendey, Hemiaulus sinensis Greville, H. membranaceus Cleve, Climacodium biconcavum Cleve, Eucampia antarctica (Castracane) Mangin, E. cornuta (Cleve) Grunow and E. zodiacus Ehrenberg. However, examination with light and electron microscopy of marine samples from along the Chilean coast and the Antarctic Peninsula (including those used in earlier publications) revealed that (1) the genus Cerataulina is represented by C. pelagica, and is distributed along the Chilean coast between Arica in the north and the Magellan Strait in the south, (2) the genus Eucampia comprises four taxa: E. zodiacus f. cylindrocornis Syvertsen (previously reported for Chile as E. zodiacus f. zodiacus), E. zodiacus f. recta Rivera, Avaria &amp; Cruces (described here), E. cornuta and E. antarctica. The former three taxa occur in the central and northern coast of Chile, while E. antarctica lives in Antarctic waters south of the Magellan Strait, (3) earlier records of Hemialus membranaceus, H. sinensis and Climacodium biconcavum in Chilean waters are misidentifications of Eucampia zodiacus f. recta f. nov. A short description is included for each taxon, and photographs provide information about the main morphological characteristics.</t>
  </si>
  <si>
    <t>Univ Concepcion, Dept Bot, Concepcion, Chile; Univ Valparaiso, Fac Ciencias Mar, Renaca, Chile</t>
  </si>
  <si>
    <t>Universidad de Concepcion; Universidad de Valparaiso</t>
  </si>
  <si>
    <t>Rivera, P (corresponding author), Univ Concepcion, Dept Bot, Casilla 160-C, Concepcion, Chile.</t>
  </si>
  <si>
    <t>privera@udec.cl</t>
  </si>
  <si>
    <t>SOCIEDAD BIOLGIA CHILE</t>
  </si>
  <si>
    <t>SANTIAGO</t>
  </si>
  <si>
    <t>CASILLA 16164, SANTIAGO 9, CHILE</t>
  </si>
  <si>
    <t>0716-078X</t>
  </si>
  <si>
    <t>REV CHIL HIST NAT</t>
  </si>
  <si>
    <t>Rev. Chil. Hist. Nat.</t>
  </si>
  <si>
    <t>760EK</t>
  </si>
  <si>
    <t>WOS:000187798500009</t>
  </si>
  <si>
    <t>Wang, DD; Lin, YT; Liu, XH; Ju, YT</t>
  </si>
  <si>
    <t>Cosmic-ray exposure histories of two Antarctic meteorites from Chinese collections and the Guangmingshan and Zhuanghe chondrites</t>
  </si>
  <si>
    <t>SCIENCE IN CHINA SERIES D-EARTH SCIENCES</t>
  </si>
  <si>
    <t>chondrite; noble gas; cosmic-ray exposure age</t>
  </si>
  <si>
    <t>GAS</t>
  </si>
  <si>
    <t>Concentrations of noble gases of two Antarctic meteorites (GRV 98002, 98004) from Chinese collections, and the Guangmingshan and Zhuanghe chondrites were measured. Based on the petrography and mineralogy of these meteorites, and production rates of the cosmogenic nuclides, we calculated cosmic-ray exposure and gas retention ages of the four chondrites. Exposure ages of the four chondrites are 0.052 Ma +/- 0.008 Ma (GRV 98004, H5), 17.0 Ma +/- 2.5 Ma (GRV98002, L5), 3.8 Ma +/- 0.6 Ma (Zhuanghe, H5), and 68.9 Ma +/- 10 Ma (Guangmingshan, H5), respectively. The exposure age of GRV 98004 is the lowest value of Antarctic meteorites reported up to date; while that of Guangmingshan is higher than other Chinese meteorites of H-group. Both GRV 98002 and Zhuanghe have low He-4 concentrations, probably due to shock effects or solar heating at orbits with small perihelion distances during cosmic-ray exposure. On the other hand, losses of cosmogenic He-3 and He-4 are correlated with both GRV 98002 and Guangmingshan.</t>
  </si>
  <si>
    <t>Chinese Acad Sci, Guangzhou Inst Geochem, Guangzhou 510640, Peoples R China; Chinese Acad Sci, Inst Geol &amp; Geophys, Beijing 100029, Peoples R China</t>
  </si>
  <si>
    <t>Chinese Academy of Sciences; Guangzhou Institute of Geochemistry, CAS; Chinese Academy of Sciences; Institute of Geology &amp; Geophysics, CAS</t>
  </si>
  <si>
    <t>Chinese Acad Sci, Guangzhou Inst Geochem, Guangzhou 510640, Peoples R China.</t>
  </si>
  <si>
    <t>gzwangdd@public.guangzhou.gd.cn</t>
  </si>
  <si>
    <t>lin, yt/IQT-6771-2023; Lin, Yangting/A-8845-2015</t>
  </si>
  <si>
    <t>1006-9313</t>
  </si>
  <si>
    <t>SCI CHINA SER D</t>
  </si>
  <si>
    <t>Sci. China Ser. D-Earth Sci.</t>
  </si>
  <si>
    <t>10.1360/03yd0060</t>
  </si>
  <si>
    <t>738XY</t>
  </si>
  <si>
    <t>WOS:000186314200004</t>
  </si>
  <si>
    <t>Dunbar, GB; Dickens, GR</t>
  </si>
  <si>
    <t>Late Quaternary shedding of shallow-marine carbonate along a tropical mixed siliciclastic-carbonate shelf: Great Barrier Reef, Australia</t>
  </si>
  <si>
    <t>SEDIMENTOLOGY</t>
  </si>
  <si>
    <t>aragonite; Australia; calcite; carbonate stratigraphy; Great Barrier Reef; Quaternary</t>
  </si>
  <si>
    <t>SEA-LEVEL CHANGES; BAHAMA BANK; TERRIGENOUS SEDIMENTATION; NORTH-ATLANTIC; MIDDLE SHELF; TRANSPORT; PLATFORM; LAGOON; STRATIGRAPHY; FLUCTUATIONS</t>
  </si>
  <si>
    <t>The north-east Australian margin is the largest modern example of a tropical mixed siliciclastic/carbonate depositional system, with an outer shelf hosting the Great Barrier Reef (GBR) and an inner shelf dominated by fluvially sourced siliciclastic sediment wedges. The long-term interplay between these sediment components and sea level is recorded in the Queensland Trough, a 1-2 km deep N-S elongate basin situated between the GBR platform and the Queensland Plateau. In this paper, 154 samples from 45 surface grabs and six well-dated piston cores were analysed for total carbonate content, carbonate mineralogy and Sr concentration to establish spatial and temporal patterns of carbonate accumulation in the Queensland Trough over the last 300 kyr. Surface carbonate contents are lowest on the inner-shelf (&lt;5%) and in the trough axis (&lt;60%) because of siliciclastic dilution. Carbonate on the shelf is mostly Sr-rich aragonite and high-Mg calcite (HMC), whereas that in the basin is mostly low-Mg calcite. Once normalized to remove the effects of siliciclastic dilution, surface Sr-rich aragonite and HMC abundances decrease linearly to background levels approximate to 100 km seaward of the shelf edge. Core samples show that, over time, normalized aragonite and Sr abundances are greatest during periods of shelf flooding and lowest when sea level drops below the shelf edge. This is consistent with changes in the production of coral and calcareous algae, and the shedding of their debris from the shelf. Interestingly, normalized HMC concentrations on the slope peak during periods of major transgression, perhaps because of maximum off-shelf transport from inter-reef areas or intermediate water dissolution. After accounting for siliciclastic dilution, there are strong similarities in both spatial and temporal patterns of carbonate minerals between slopes and basins of the north-east Australian margin and those of pure carbonate margins such as the Bahamas. A limited set of basic processes, including the formation and breakdown of carbonate on the shelf, the transport of carbonate off the shelf and eustatic sea level, probably controls carbonate accumulation in slope and basin settings of tropical environments, irrespective of proximal siliciclastic sediment sources.</t>
  </si>
  <si>
    <t>Victoria Univ Wellington, Antarctic Res Ctr, Wellington, New Zealand; James Cook Univ N Queensland, Sch Earth Sci, Townsville, Qld 4811, Australia; Rice Univ, Dept Earth Sci, Houston, TX 77005 USA</t>
  </si>
  <si>
    <t>Victoria University Wellington; James Cook University; Rice University</t>
  </si>
  <si>
    <t>Dunbar, GB (corresponding author), Australian Natl Univ, Res Sch Earth Sci, Canberra, ACT 0200, Australia.</t>
  </si>
  <si>
    <t>Dickens, Gerald R/G-1222-2011</t>
  </si>
  <si>
    <t>Dickens, Gerald/0000-0003-2869-4860</t>
  </si>
  <si>
    <t>0037-0746</t>
  </si>
  <si>
    <t>Sedimentology</t>
  </si>
  <si>
    <t>10.1046/j.1365-3091.2003.00593.x</t>
  </si>
  <si>
    <t>749HH</t>
  </si>
  <si>
    <t>WOS:000186913500003</t>
  </si>
  <si>
    <t>Griffiths, G; Millard, NW; McPhail, SD; Stevenson, P; Challenor, PG</t>
  </si>
  <si>
    <t>On the reliability of the Autosub autonomous underwater vehicle</t>
  </si>
  <si>
    <t>UNDERWATER TECHNOLOGY</t>
  </si>
  <si>
    <t>ANTARCTIC KRILL; SEA</t>
  </si>
  <si>
    <t>As autonomous underwater vehicles (AUVs) enter operational service, an assessment of their reliability is timely. Using the Autosub AUV as an example, several design issues affecting reliability are discussed, followed by an analysis of recorded faults. Perhaps contrary to expectations, failures rarely involved the autonomous nature of the vehicle. Rather, faults were typical of those that occur with any complex item of marine electromechanical equipment. Reliability under various operating conditions was assessed using Weibull parametric models. This reliability modelling was extended to the case of a vehicle operating under ice in order to estimate the probability of loss in situations where the support vessel could not gain access to a malfunctioning vehicle.</t>
  </si>
  <si>
    <t>Southampton Oceanog Ctr, Southampton SO14 3ZH, Hants, England</t>
  </si>
  <si>
    <t>Griffiths, G (corresponding author), Southampton Oceanog Ctr, Empress Dock, Southampton SO14 3ZH, Hants, England.</t>
  </si>
  <si>
    <t>Challenor, Peter/M-2579-2016</t>
  </si>
  <si>
    <t>Challenor, Peter/0000-0001-8661-2718</t>
  </si>
  <si>
    <t>SOC UNDERWATER TECHNOLOGY</t>
  </si>
  <si>
    <t>76 MARK LANE, LONDON EC3R 7JN, ENGLAND</t>
  </si>
  <si>
    <t>0141-0814</t>
  </si>
  <si>
    <t>UNDERWATER TECHNOL</t>
  </si>
  <si>
    <t>Underw. Technol.</t>
  </si>
  <si>
    <t>10.3723/175605403783101612</t>
  </si>
  <si>
    <t>843KW</t>
  </si>
  <si>
    <t>WOS:000223080200003</t>
  </si>
  <si>
    <t>Dezileau, L; Reyss, JL; Lemoine, F</t>
  </si>
  <si>
    <t>Late Quaternary changes in biogenic opal fluxes in the southern Indian Ocean</t>
  </si>
  <si>
    <t>Southern Ocean; Indian sector; biogenic opal; organic carbon; thorium; paleoproductivity</t>
  </si>
  <si>
    <t>LAST GLACIAL MAXIMUM; CHILEAN LAKE DISTRICT; INTERGLACIAL CHANGES; PA-231/TH-230 RATIO; ATMOSPHERIC CO2; POLAR FRONT; DEEP-SEA; TH-230; ATLANTIC; SECTOR</t>
  </si>
  <si>
    <t>Late Quaternary sedimentary and paleoenvironmental conditions in the southern Indian Ocean have been reconstructed from radioisotope and proxy element profiles (biogenic opal and organic carbon) measured on five sediment cores taken along a transect across the Indian sector of the Antarctic Circumpolar Current. Dissolution-corrected opal rain rates were used to reconstruct past changes of opal productivity for this region. Records from these five cores indicate that opal productivity during glacial periods was lower than presently recorded south of the Antarctic Polar Front (APF), probably due to increased ice cover. North of APF, opal productivity was slightly greater during glacial periods than during the Holocene, probably in response to (1) the northward migration of the APF by approximately 5degrees latitude, (2) a northward transport of Si from the Antarctic Zone, and (3) an increase of Fe, necessary for opal-producing organisms, via upwelling and the erosion of the Kerguelen Plateau. We also invoke a decoupling between opal burial and organic carbon flux to the seabed to explain the variation in buried Si/C ratio between glacial and interglacial sediment. This decoupling is principally explained by better organic carbon preservation in the glacial sediments due to strong sediment focussing. An increase in glacial export paleoproductivity is not supported by the data, implying that bioproductivity variations in the Southern Indian Ocean are unlikely to have contributed to the glacial drawdown of atmospheric CO2 inferred from ice core data. (C) 2003 Elsevier B.V. All rights reserved.</t>
  </si>
  <si>
    <t>Inst Radioprotect &amp; Surete Nucl, Fontenay Aux Roses, France; CEA, CNRS, Lab Mixte, Lab Sci Climat &amp; Environm, F-91191 Gif Sur Yvette, France; Univ Concepcion, Programa Reg Oceanog Fis &amp; Clima, Concepcion, Chile</t>
  </si>
  <si>
    <t>CEA; Centre National de la Recherche Scientifique (CNRS); Universite Paris Saclay; Universidad de Concepcion</t>
  </si>
  <si>
    <t>Univ Montpellier 2, Lab Dynam &amp; Lithosphere, F-34095 Montpellier 05, France.</t>
  </si>
  <si>
    <t>laurent.dezileau@dstu.univ-montp2.fr</t>
  </si>
  <si>
    <t>NOV 30</t>
  </si>
  <si>
    <t>10.1016/S0025-3227(03)00283-4</t>
  </si>
  <si>
    <t>749GP</t>
  </si>
  <si>
    <t>WOS:000186911700003</t>
  </si>
  <si>
    <t>Pagnutti, M; Ryan, RE; Kelly, M; Holekamp, K; Zanoni, V; Thome, K; Schiller, S</t>
  </si>
  <si>
    <t>Radiometric characterization of IKONOS multispectral imagery</t>
  </si>
  <si>
    <t>IKONOS; space Imaging; multispectral imagery</t>
  </si>
  <si>
    <t>CALIBRATION; SENSORS; SCATTERING</t>
  </si>
  <si>
    <t>A radiometric characterization of Space Imaging's IKONOS 4-m multispectral imagery has been performed by a National Aeronautics and Space Administration (NASA) funded team from NASA Stennis Space Center, the University of Arizona Remote Sensing Group (U of A RSG), and South Dakota State University (SDSU). Both intrinsic radiometry and the effects of Space Imaging processing on radiometry were investigated. Relative radiometry was examined with uniform Antarctic and Saharan sites. Absolute radiometric calibration was performed using reflectance-based vicarious calibration methods on several uniform sites imaged by IKONOS coincident with ground-based surface and atmospheric measurements. Ground-based data and the IKONOS spectral response function served as input to radiative transfer codes to generate a top-of-atmosphere (TOA) radiance estimate. Calibration coefficients derived from each vicarious calibration were combined to generate an IKONOS radiometric gain coefficient for each multispectral band assuming a linear response over the full dynamic range of the instrument. These calibration coefficients were made available to Space Imaging, which subsequently adopted them by updating its initial set of calibration coefficients. IKONOS imagery procured through the NASA Scientific Data Purchase was processed with or without a Modulation Transfer Function Compensation (MTFC) kernel. The radiometric effects of this kernel on various scene types were also investigated. (C) 2003 Elsevier Inc. All rights reserved.</t>
  </si>
  <si>
    <t>Remote Sensing Direcotrate, Lockheed Martin Space Operat Stennis Program, Stennis Space Ctr, MS 39529 USA; NASA, Earth Sci Applicat Directorate, Stennis Space Ctr, MS USA; Univ Arizona, Ctr Opt Sci, Remote Sensing Grp, Tucson, AZ 85721 USA; S Dakota State Univ, Dept Phys, Brookings, SD USA</t>
  </si>
  <si>
    <t>National Aeronautics &amp; Space Administration (NASA); University of Arizona; South Dakota State University</t>
  </si>
  <si>
    <t>Pagnutti, M (corresponding author), Remote Sensing Direcotrate, Lockheed Martin Space Operat Stennis Program, Bldg 1105, Stennis Space Ctr, MS 39529 USA.</t>
  </si>
  <si>
    <t>Mary.Pagnutti@ssc.nasa.gov</t>
  </si>
  <si>
    <t>Thome, Kurtis J/D-7251-2012</t>
  </si>
  <si>
    <t>1879-0704</t>
  </si>
  <si>
    <t>10.1016/j.rse.2003.07.008</t>
  </si>
  <si>
    <t>751QM</t>
  </si>
  <si>
    <t>WOS:000187078500006</t>
  </si>
  <si>
    <t>Mahesh, A; Eager, R; Campbell, JR; Spinhirne, JD</t>
  </si>
  <si>
    <t>Observations of blowing snow at the South Pole</t>
  </si>
  <si>
    <t>blowing snow; Antarctica; polar climate</t>
  </si>
  <si>
    <t>THRESHOLD WIND-SPEEDS; KATABATIC WINDS; MICROPULSE LIDAR; PART II; ANTARCTICA; MODEL; TRANSPORT; ALTIMETRY; CLOUD</t>
  </si>
  <si>
    <t>[ 1] Observations of blowing snow from visual observers' records as well as ground- based infrared and lidar measurements at South Pole Station are analyzed to obtain the first climatology of blowing snow over the Antarctic Plateau. Occurrence frequencies of blowing snow, wind direction and speed during blowing snow events, typical snow layer heights, as well as optical depths are determined. Blowing snow is recorded in roughly one third of the visual observations and occurs under a narrow range of wind directions. Blowing snow layers are usually less than 400 m in thickness but can exceed 1000 m. During blowing snow conditions, these near- surface layers are apparent in lidar backscatter profiles. These layers emit radiances similar to those from optically thin clouds frequently seen over the Antarctic Plateau. Because the near- surface blowing snow layers are frequently present, they are a factor in space- borne laser altimetry and other satellite remote sensing.</t>
  </si>
  <si>
    <t>NASA, Goddard Earth Sci &amp; Technol Ctr, Greenbelt, MD 20771 USA; Valparaiso Univ, Dept Geog &amp; Meteorol, Valparaiso, IN 46383 USA; Sci Syst &amp; Applicat Inc, Lanham, MD 20706 USA; NASA, Goddard Space Flight Ctr, Greenbelt, MD 20771 USA</t>
  </si>
  <si>
    <t>National Aeronautics &amp; Space Administration (NASA); NASA Goddard Space Flight Center; Valparaiso University; Science Systems and Applications Inc; National Aeronautics &amp; Space Administration (NASA); NASA Goddard Space Flight Center</t>
  </si>
  <si>
    <t>Mahesh, A (corresponding author), NASA, Goddard Earth Sci &amp; Technol Ctr, Code 912, Greenbelt, MD 20771 USA.</t>
  </si>
  <si>
    <t>ashwin.mahesh@gsfc.nasa.gov</t>
  </si>
  <si>
    <t>Spinhirne, James D/D-2541-2011; Campbell, James R/C-4884-2012</t>
  </si>
  <si>
    <t>Campbell, James/0000-0003-0251-4550</t>
  </si>
  <si>
    <t>NOV 29</t>
  </si>
  <si>
    <t>D22</t>
  </si>
  <si>
    <t>10.1029/2002JD003327</t>
  </si>
  <si>
    <t>749QW</t>
  </si>
  <si>
    <t>WOS:000186941200002</t>
  </si>
  <si>
    <t>Grotti, M; Soggia, F; Riva, SD; Magi, E; Frache, R</t>
  </si>
  <si>
    <t>An in situ filtration system for trace element determination in suspended particulate matter</t>
  </si>
  <si>
    <t>ANALYTICA CHIMICA ACTA</t>
  </si>
  <si>
    <t>suspended particulate matter; In situ filtration; multiparametric probe</t>
  </si>
  <si>
    <t>WATER; ISOTOPES; PARTICLES; SEAWATER; SAMPLER; METALS; SEA; TH</t>
  </si>
  <si>
    <t>A system for in situ filtration of suspended particulate matter (SPM) has been developed specifically for trace element determination. Minimization of metal contamination sources was realized by careful choice of materials and designing a closed-open-closed electronic procedure for the soaking of the system. In order to prevent undesired pressure increase due to the filter clogging and to avoid modification of metal distribution in the different phases of SPM, a relief valve was used to keep the pumping pressure constant. The possibility to perform a sub-sampling of SPM was also taken into account to expand the analytical capabilities. Finally, the sampler was equipped with a multiparametric probe in order to carry out real-time measurements of physical parameters (temperature, salinity, fluorescence, turbidimetry) and operating conditions (flow rates, filtered volumes, energy consumption). The system has been tested and applied successfully in Antarctic coastal waters (Terra Nova Bay, Ross Sea) in the framework of the Italian Research Programme in Antarctica (PNRA). The analytical possibilities allowed by the large amount of SPM which can be collected by FIS500 (50-100 mg) include total metal concentration, solid speciation and morphological investigation by scanning electron microscopy. (C) 2003 Elsevier B.V. All rights reserved.</t>
  </si>
  <si>
    <t>Univ Genoa, Dept Chem &amp; Ind Chem, I-16146 Genoa, Italy</t>
  </si>
  <si>
    <t>University of Genoa</t>
  </si>
  <si>
    <t>Grotti, M (corresponding author), Univ Genoa, Dept Chem &amp; Ind Chem, Via Dodecaneso 33, I-16146 Genoa, Italy.</t>
  </si>
  <si>
    <t>Grotti, Marco/HGU-3949-2022; Magi, Emanuele/C-9564-2011</t>
  </si>
  <si>
    <t>Grotti, Marco/0000-0001-6956-5761; Magi, Emanuele/0000-0002-8183-5020</t>
  </si>
  <si>
    <t>0003-2670</t>
  </si>
  <si>
    <t>ANAL CHIM ACTA</t>
  </si>
  <si>
    <t>Anal. Chim. Acta</t>
  </si>
  <si>
    <t>NOV 28</t>
  </si>
  <si>
    <t>10.1016/j.aca.2003.08.058</t>
  </si>
  <si>
    <t>743YM</t>
  </si>
  <si>
    <t>WOS:000186601200015</t>
  </si>
  <si>
    <t>Hnat, B; Chapman, SC; Rowlands, G; Watkins, NW; Freeman, MP</t>
  </si>
  <si>
    <t>Scaling in long term data sets of geomagnetic indices and solar wind ε as seen by WIND spacecraft -: art. no. 2174</t>
  </si>
  <si>
    <t>AURORAL ELECTROJET INDEX; TIME-SERIES; AE; MAGNETOSPHERE; BEHAVIOR; DYNAMICS; AFFINITY</t>
  </si>
  <si>
    <t>[ 1] We study scaling in fluctuations of the geomagnetic indices ( AE, AU, and AL) that provide a measure of magnetospheric activity and of the epsilon parameter which is a measure of the solar wind driver. Generalized structure function ( GSF) analysis shows that fluctuations exhibit self- similar scaling up to about 1 hour for the AU index and about 2 hours for AL, AE and epsilon when the most extreme fluctuations over 10 standard deviations are excluded. The scaling exponents of the GSF are found to be similar for the three AE indices, and to differ significantly from that of epsilon. This is corroborated by direct comparison of their rescaled probability density functions.</t>
  </si>
  <si>
    <t>Univ Warwick, Space &amp; Astrophys Grp, Coventry CV4 7AJ, W Midlands, England; British Antarctic Survey, NERC, Cambridge CB3 0ET, England</t>
  </si>
  <si>
    <t>University of Warwick; UK Research &amp; Innovation (UKRI); Natural Environment Research Council (NERC); NERC British Antarctic Survey</t>
  </si>
  <si>
    <t>Hnat, B (corresponding author), Univ Warwick, Space &amp; Astrophys Grp, Coventry CV4 7AJ, W Midlands, England.</t>
  </si>
  <si>
    <t>Watkins, Nick/GPX-7439-2022; Watkins, Nicholas Wynn/C-5140-2008; Chapman, Sandra/C-2216-2008; Freeman, Mervyn/E-5687-2019</t>
  </si>
  <si>
    <t>Watkins, Nick/0000-0003-4484-6588; Watkins, Nicholas Wynn/0000-0003-4484-6588; Chapman, Sandra/0000-0003-0053-1584; Freeman, Mervyn/0000-0002-8653-8279</t>
  </si>
  <si>
    <t>10.1029/2003GL018209</t>
  </si>
  <si>
    <t>749QM</t>
  </si>
  <si>
    <t>Green Accepted, Bronze, Green Published, Green Submitted</t>
  </si>
  <si>
    <t>WOS:000186939900001</t>
  </si>
  <si>
    <t>Stocker, TF; Johnsen, SJ</t>
  </si>
  <si>
    <t>A minimum thermodynamic model for the bipolar seesaw</t>
  </si>
  <si>
    <t>bipolar seesaw; synchronization of Antarctic and Greenland ice cores; Dansgaard-Oeschger events; north-south connection</t>
  </si>
  <si>
    <t>LAST GLACIAL PERIOD; ABRUPT CLIMATE-CHANGE; ATLANTIC THERMOHALINE CIRCULATION; OCEAN-ATMOSPHERE MODEL; GREENLAND ICE-CORES; YOUNGER DRYAS EVENT; PHASE-RELATIONSHIPS; RADIOCARBON AGES; WATER; ANTARCTICA</t>
  </si>
  <si>
    <t>[ 1] The simplest possible model is proposed to explain a large fraction of the millennial climate variability measured in the isotopic composition of Antarctic ice cores. The model results from the classic bipolar seesaw by coupling it to a heat reservoir. In this  thermal bipolar seesaw'' the heat reservoir convolves northern time signals with a characteristic timescale. Applying the model to the data of GRIP and Byrd, we demonstrate that maximum correlation can be obtained using a timescale of about 1000 - 1500 years. Higher correlations are obtained by first filtering out the long- term variability which is due to astronomical and greenhouse gas forcing and not part of the thermal bipolar seesaw. The model resolves the apparent confusion whether northern and southern climate records are in or out of phase, synchronous, or time lagged.</t>
  </si>
  <si>
    <t>Univ Bern, Inst Phys, CH-3012 Bern, Switzerland; Univ Copenhagen, Niels Bohr Inst, Dept Geophys, DK-2100 Copenhagen, Denmark</t>
  </si>
  <si>
    <t>University of Bern; University of Copenhagen; Niels Bohr Institute</t>
  </si>
  <si>
    <t>stocker@climate.unibe.ch; sigfus@gfy.ku.dk</t>
  </si>
  <si>
    <t>Stocker, Thomas F/B-1273-2013</t>
  </si>
  <si>
    <t>NOV 26</t>
  </si>
  <si>
    <t>10.1029/2003PA000920</t>
  </si>
  <si>
    <t>749RV</t>
  </si>
  <si>
    <t>WOS:000186943400001</t>
  </si>
  <si>
    <t>Niiler, PP; Maximenko, NA; McWilliams, JC</t>
  </si>
  <si>
    <t>Dynamically balanced absolute sea level of the global ocean derived from near-surface velocity observations</t>
  </si>
  <si>
    <t>TOTAL GEOSTROPHIC CIRCULATION; FLOW PATTERNS; TRANSPORTS; TRACERS; PACIFIC</t>
  </si>
  <si>
    <t>[ 1] The 1992 - 2002 time- mean absolute sea level distribution of the global ocean is computed for the first time from observations of near- surface velocity. For this computation, we use the near- surface horizontal momentum balance. The velocity observed by drifters is used to compute the Coriolis force and the force due to acceleration of water parcels. The anomaly of horizontal pressure gradient is derived from satellite altimetry and corrects the temporal bias in drifter data distribution. NCEP reanalysis winds are used to compute the force due to Ekman currents. The mean sea level gradient force, which closes the momentum balance, is integrated for mean sea level. We find that our computation agrees, within uncertainties, with the sea level computed from the geostrophic, hydrostatic momentum balance using historical mean density, except in the Antarctic Circumpolar Current. A consistent horizontally and vertically dynamically balanced, near- surface, global pressure field has now been derived from observations.</t>
  </si>
  <si>
    <t>Univ Calif San Diego, Scripps Inst Oceanog, La Jolla, CA 92093 USA; Univ Hawaii, SOEST, Int Pacific Res Ctr, Honolulu, HI 96822 USA; Univ Calif Los Angeles, Los Angeles, CA USA; Russian Acad Sci, PP Shirshov Oceanol Inst, Moscow 117901, Russia</t>
  </si>
  <si>
    <t>University of California System; University of California San Diego; Scripps Institution of Oceanography; University of Hawaii System; University of California System; University of California Los Angeles; Russian Academy of Sciences; Shirshov Institute of Oceanology</t>
  </si>
  <si>
    <t>Niiler, PP (corresponding author), Univ Calif San Diego, Scripps Inst Oceanog, La Jolla, CA 92093 USA.</t>
  </si>
  <si>
    <t>Maximenko, Nikolai/0000-0001-6017-6807</t>
  </si>
  <si>
    <t>NOV 25</t>
  </si>
  <si>
    <t>10.1029/2003GL018628</t>
  </si>
  <si>
    <t>749QK</t>
  </si>
  <si>
    <t>WOS:000186939600005</t>
  </si>
  <si>
    <t>Wolff, EW; Rankin, AM; Röthlisberger, R</t>
  </si>
  <si>
    <t>An ice core indicator of Antarctic sea ice production? -: art. no. 2158</t>
  </si>
  <si>
    <t>LAST GLACIAL MAXIMUM; INTERGLACIAL CO2 VARIATIONS; EAST ANTARCTICA; SOUTHERN-OCEAN; SALT AEROSOL; DOME-C; ROSS EMBAYMENT; CLIMATE; CHEMISTRY; DUST</t>
  </si>
  <si>
    <t>[1] The sea ice surface, not open water, is the dominant source of sea salt to aerosol and ice cores in coastal Antarctica. Here, we show that it may also form the dominant source for central Antarctica. We can then explain higher concentrations in the winter and last glacial maximum (LGM) as being due to increased sea ice production. This suggests that ice core sea salt can indicate at least the timing of changes in Antarctic sea ice production. The pattern of sea salt in ice cores is consistent with marine evidence about sea ice changes in the Holocene and LGM. Sea salt shows no change at the initial CO2 increase out of the last glacial, making it unlikely this was primarily due to changing sea ice cover. The sea salt record should not be treated as an indicator of meridional transport.</t>
  </si>
  <si>
    <t>Wolff, EW (corresponding author), British Antarctic Survey, High Cross,Madingley Rd, Cambridge CB3 0ET, England.</t>
  </si>
  <si>
    <t>NOV 22</t>
  </si>
  <si>
    <t>10.1029/2003GL018454</t>
  </si>
  <si>
    <t>749BF</t>
  </si>
  <si>
    <t>WOS:000186898200004</t>
  </si>
  <si>
    <t>Cantero, ALP; Vervoort, W</t>
  </si>
  <si>
    <t>Species of Staurotheca Allman, 1888 (Cnidaria: Hydrozoa: Sertulariidae) from US Antarctic expeditions, with the description of three new species</t>
  </si>
  <si>
    <t>JOURNAL OF NATURAL HISTORY</t>
  </si>
  <si>
    <t>hydroids; systematics; ecology; biogeography; Antarctic Ocean</t>
  </si>
  <si>
    <t>Seventeen species of the genus Staurotheca Allman have been studied, three of which are new to science ( Staurotheca abyssalis sp. nov., S. densa sp. nov. and S. profunda sp. nov.). The material studied was collected by several US Antarctic expeditions. Each species is described and figured, the systematic position amongst allied species discussed and available data concerning autecology and geographical distribution given. The remaining six known species of the genus are also considered, regarding synonymy, autecology and geographical distribution. The type material of two poorly known species of Staurotheca, S. juncea (Vanhoffen) and S. pachyclada (Jaderholm) has been re-examined, re-described and figured. Finally, a general survey of the bathymetrical and biogeographical distribution of the known species of Staurotheca is given.</t>
  </si>
  <si>
    <t>Univ Valencia, Fac Ciencias Biol, Dept Zool Anim, E-46100 Valencia, Spain; Natl Museum Nat Hist, NL-2300 RA Leiden, Netherlands</t>
  </si>
  <si>
    <t>Cantero, ALP (corresponding author), Univ Valencia, Fac Ciencias Biol, Dept Zool Anim, Dr Moliner 50, E-46100 Valencia, Spain.</t>
  </si>
  <si>
    <t>0022-2933</t>
  </si>
  <si>
    <t>J NAT HIST</t>
  </si>
  <si>
    <t>J. Nat. Hist.</t>
  </si>
  <si>
    <t>NOV 20</t>
  </si>
  <si>
    <t>10.1080/00222930210155701</t>
  </si>
  <si>
    <t>Biodiversity Conservation; Ecology; Zoology</t>
  </si>
  <si>
    <t>Biodiversity &amp; Conservation; Environmental Sciences &amp; Ecology; Zoology</t>
  </si>
  <si>
    <t>735JM</t>
  </si>
  <si>
    <t>WOS:000186109900002</t>
  </si>
  <si>
    <t>Basal topography and ice flow in the Bailey/Slessor region of East Antarctica</t>
  </si>
  <si>
    <t>glaciology; Antarctica; radio-echo sounding (RES); enhanced flow; Bedmap; ice dynamics</t>
  </si>
  <si>
    <t>STREAM-B; WEST ANTARCTICA; SUBGLACIAL GEOLOGY; BENEATH; SHEET; TRIBUTARIES; VELOCITIES; MECHANICS; GREENLAND; DEFORMATION</t>
  </si>
  <si>
    <t>An airborne radio-echo sounding campaign carried out in the upper reaches of Bailey Ice Stream and Slessor Glacier, in Coats Land, East Antarctica, has revealed that tributaries of enhanced flow lie within well-defined basal troughs and are separated from each other by bed highs. These new data indicate significant differences in ice thickness compared with those estimated in the Bedmap database. A numerical modeling study has revealed that driving stresses are high enough to account for flow by ice deformation alone in intertributary areas. Most flow in the enhanced flow tributaries of Slessor Glacier may also be explained by ice deformation alone. However, although ice deformation is also significant in the Bailey Ice Stream tributary, a large amount of basal motion is also required to fully explain flow velocities here. It is proposed that the trough in which Bailey tributary lies is sufficiently deep that marine sediments may have accumulated here in preglacial times. Along with water produced by geothermal heating, frictional heating, and through a reduction in the pressure melting point, basal motion may therefore be facilitated by the presence of a deformable, saturated till layer at the bed.</t>
  </si>
  <si>
    <t>Univ Bristol, Bristol Glaciol Ctr, Sch Geog Sci, Bristol BS8 1SS, Avon, England; British Antarctic Survey, Cambridge CB3 0ET, England</t>
  </si>
  <si>
    <t>University of Bristol; UK Research &amp; Innovation (UKRI); Natural Environment Research Council (NERC); NERC British Antarctic Survey</t>
  </si>
  <si>
    <t>Univ Bristol, Bristol Glaciol Ctr, Sch Geog Sci, Univ Rd, Bristol BS8 1SS, Avon, England.</t>
  </si>
  <si>
    <t>d.m.rippin@bristol.ac.uk; j.l.bamber@bristol.ac.uk; m.j.siegert@bristol.ac.uk; d.vaughan@bas.ac.uk; h.corr@bas.ac.uk</t>
  </si>
  <si>
    <t>Bamber, Jonathan/C-7608-2011; Corr, Hugh/C-5398-2011; Rippin, David Manish/AAW-5063-2021; Siegert, Martin J/A-3826-2008; Siegert, Martin/M-9939-2019; Vaughan, David/C-8348-2011</t>
  </si>
  <si>
    <t>Bamber, Jonathan/0000-0002-2280-2819; Rippin, David Manish/0000-0001-7757-9880; Siegert, Martin J/0000-0002-0090-4806; Siegert, Martin/0000-0002-0090-4806;</t>
  </si>
  <si>
    <t>NOV 19</t>
  </si>
  <si>
    <t>F16008</t>
  </si>
  <si>
    <t>10.1029/2003JF000039</t>
  </si>
  <si>
    <t>863MO</t>
  </si>
  <si>
    <t>WOS:000224566200001</t>
  </si>
  <si>
    <t>Manning, W; Wang, JR</t>
  </si>
  <si>
    <t>Retrieval of precipitable water using Special Sensor Microwave/Temperature-2 (SSM/T-2) millimeter-wave radiometric measurements</t>
  </si>
  <si>
    <t>RADIO SCIENCE</t>
  </si>
  <si>
    <t>millimeter-wave; radiometry; remote sensing; precipitable water; water vapor; polar meteorology</t>
  </si>
  <si>
    <t>VAPOR; MIR; GHZ</t>
  </si>
  <si>
    <t>[1] Four years of Special Sensor Microwave/Temperature-2 (SSM/T-2) measurements over the high-latitude regions of both the Northern and Southern Hemispheres are used to retrieve precipitable water W &lt; 0.8 cm. The retrieved W values compare well with several thousand near-concurrent radiosonde-derived estimates of W. Additionally, very good agreement is found between the retrieved SSM/T-2 W values and continuous ground-based radiometer-derived estimates of W during a couple of extended time periods. A bias (0.03 - 0.06 cm) exists between the W values retrieved from the SSM/T-2 and the values derived from the radiosonde/radiometer observations. This bias is caused primarily by the assumption of equivalent surface emissivity across the 150 - 183 GHz frequency range that is made during the development of the retrieval algorithm. The spatial distribution of the SSM/T-2-retrieved winter mean W values is examined together with digital elevation models for both the Greenland and Antarctic ice sheets. This detailed comparison conveys expected climatological characteristics that are quite sensible when the combined effects of the surface elevation and the general atmospheric circulation patterns near and over the ice sheets are considered in unison. The SSM/T-2 W retrieval presented provides accurate W information with a high sampling rate for the potentially climate change-sensitive polar regions of the Northern and Southern Hemispheres.</t>
  </si>
  <si>
    <t>NASA, Goddard Space Flight Ctr, Greenbelt, MD 20771 USA; Univ Maryland Baltimore Cty, Joint Ctr Earth Syst Technol, Baltimore, MD 21228 USA</t>
  </si>
  <si>
    <t>National Aeronautics &amp; Space Administration (NASA); NASA Goddard Space Flight Center; University System of Maryland; University of Maryland Baltimore County</t>
  </si>
  <si>
    <t>Manning, W (corresponding author), Night Vis &amp; Elect Sensors Directorate, 10221 Burbeck Rd, Ft Belvoir, VA 22060 USA.</t>
  </si>
  <si>
    <t>0048-6604</t>
  </si>
  <si>
    <t>RADIO SCI</t>
  </si>
  <si>
    <t>Radio Sci.</t>
  </si>
  <si>
    <t>10.1029/2002RS002735</t>
  </si>
  <si>
    <t>Astronomy &amp; Astrophysics; Geochemistry &amp; Geophysics; Meteorology &amp; Atmospheric Sciences; Remote Sensing; Telecommunications</t>
  </si>
  <si>
    <t>749CE</t>
  </si>
  <si>
    <t>WOS:000186900400002</t>
  </si>
  <si>
    <t>Hong, SM; Kim, Y; Boutron, CF; Ferrari, CP; Petit, JR; Barbante, C; Rosman, K; Lipenkov, VY</t>
  </si>
  <si>
    <t>Climate-related variations in lead concentrations and sources in Vostok Antarctic ice from 65,000 to 240,000 years BP</t>
  </si>
  <si>
    <t>RECORD; SNOW; EMISSIONS; WORLDWIDE; POLLUTION; VOLCANOS; HISTORY; CADMIUM; METALS; CORES</t>
  </si>
  <si>
    <t>[1] Pb has been measured in various sections of the 3,623-m Vostok deep Antarctic ice core dated from 65,000 to 240,000 years BP, i.e. back to the beginning of the penultimate ice age and the preceding interglacial (isotopic stage 7.5). Pb concentrations were highly variable during this time interval, with low values down to similar to0.5 pg/g during warm climatic stages and much higher values up to similar to20 pg/g during cold climatic stages, especially isotopic stages 4.2 and 6.2 to 6.6. Rock and soil dust accounts for virtually 100% of Pb measured in the ice during cold climatic stages, while the contribution from volcanoes might be significant during warm stages.</t>
  </si>
  <si>
    <t>Korea Ocean Res &amp; Dev Inst, Polar Sci Lab, Seoul 425600, South Korea; CNRS, Lab Glaciol &amp; Geophys Environm, F-38402 St Martin Dheres, France; Univ Grenoble 1, Inst Univ France, Observ Sci Univers &amp; Unitede Format &amp; Rech Phys, Grenoble, France; Univ Grenoble 1, Polytech Grenoble, Grenoble, France; Univ Venice, Dept Environm Sci, I-30123 Venice, Italy; Univ Venice, CNR, Ctr Studies Environm Chem &amp; Technol, I-30123 Venice, Italy; Curtin Univ Technol, Dept Appl Phys, Perth, WA 6845, Australia; Arctic &amp; Antarctic Res Inst, St Petersburg 199397, Russia</t>
  </si>
  <si>
    <t>Korea Institute of Ocean Science &amp; Technology (KIOST); Centre National de la Recherche Scientifique (CNRS); Institut Universitaire de France; Communaute Universite Grenoble Alpes; Universite Grenoble Alpes (UGA); Communaute Universite Grenoble Alpes; Institut National Polytechnique de Grenoble; Universite Grenoble Alpes (UGA); Universita Ca Foscari Venezia; Universita Ca Foscari Venezia; Consiglio Nazionale delle Ricerche (CNR); Curtin University; Arctic &amp; Antarctic Research Institute</t>
  </si>
  <si>
    <t>Korea Ocean Res &amp; Dev Inst, Polar Sci Lab, POB 29, Seoul 425600, South Korea.</t>
  </si>
  <si>
    <t>smhong@kordi.re.kr</t>
  </si>
  <si>
    <t>Barbante, Carlo/B-3195-2011; Lipenkov, Vladimir/Q-8262-2016</t>
  </si>
  <si>
    <t>Barbante, Carlo/0000-0003-4177-2288; Lipenkov, Vladimir/0000-0003-4221-5440</t>
  </si>
  <si>
    <t>NOV 18</t>
  </si>
  <si>
    <t>10.1029/2003GL018411</t>
  </si>
  <si>
    <t>749BB</t>
  </si>
  <si>
    <t>WOS:000186897800005</t>
  </si>
  <si>
    <t>Raphael, MN</t>
  </si>
  <si>
    <t>Impact of observed sea-ice concentration on the Southern Hemisphere extratropical atmospheric circulation in summer</t>
  </si>
  <si>
    <t>Antarctic sea-ice concentration; Southern Hemisphere circulation; climate modeling</t>
  </si>
  <si>
    <t>CLIMATE-SYSTEM-MODEL; ANTARCTIC WINTER; POLAR CLIMATE; ANNULAR MODES; VARIABILITY; EXTENT; OSCILLATION; SENSITIVITY; SIMULATIONS; PRESSURE</t>
  </si>
  <si>
    <t>[1] The response of the Southern Hemisphere extratropical, atmospheric circulation to extremes of sea-ice concentration in summer is investigated using a fully coupled climate model. Maximum and minimum sea-ice extremes were obtained from satellite-derived data, and a 12-month climatology for each case was created. Two 10-year simulations for each scenario were completed, and the results for the southern summer are compared. At the surface the sea-ice extremes directly affected the temperatures around Antarctica and through these the latitudinal surface temperature and pressure gradients. The midlatitude surface westerlies are weaker in the maximum scenario, while the polar easterlies expand farther north. In the middle troposphere the zonal jet strengthens slightly and shifts equatorward in the maximum scenario. Comparisons of the sea level pressure field and the 500 hPa geopotential height field for the two scenarios show that the leading mode of circulation variability, the Southern Hemisphere Annular Mode, tends toward positive polarity ( lower than normal geopotential heights over Antarctica) in the minimum sea-ice scenario. This tendency is associated with local differences in surface pressure gradient and temperature and large scale dynamic responses to extremes of sea-ice concentration.</t>
  </si>
  <si>
    <t>Univ Calif Los Angeles, Dept Geog, Los Angeles, CA 90095 USA</t>
  </si>
  <si>
    <t>Univ Calif Los Angeles, Dept Geog, 1255 Bunche Hall, Los Angeles, CA 90095 USA.</t>
  </si>
  <si>
    <t>raphael@oscar.sscnet.ucla.edu</t>
  </si>
  <si>
    <t>10.1029/2002JD003308</t>
  </si>
  <si>
    <t>749BJ</t>
  </si>
  <si>
    <t>WOS:000186898500001</t>
  </si>
  <si>
    <t>Bart, PJ</t>
  </si>
  <si>
    <t>Were West Antarctic Ice Sheet grounding events in the Ross Sea a consequence of East Antarctic Ice Sheet expansion during the middle Miocene?</t>
  </si>
  <si>
    <t>West Antarctic Ice Sheet; East Antarctic Ice Sheet; middle Miocene shift; seismic stratigraphy</t>
  </si>
  <si>
    <t>CONTINENTAL-MARGIN; SOUTHWEST PACIFIC; OCEAN; RECORD; SEQUENCES; LEVEL; FLUCTUATIONS; GLACIATION; TERTIARY; BENEATH</t>
  </si>
  <si>
    <t>Seismic correlation of glacial unconfortnities from the Ross Sea outer continental shelf to chronostratigraphic control at DSDP sites 272 and 273 indicates that at least two West Antarctic Ice Sheet (WAIS) expansions occurred during the early part of the middle Miocene (i.e. well before completion of continental-scale expansion of the East Antarctic Ice Sheet (EAIS) inferred from delta(18)O and eustatic shifts). Therefore, if the volume of the EAIS was indeed relatively low. and if the Ross Sea age model is valid, then these WAIS expansions/contractions were not a direct consequence of EAIS expansion over the Transantarctic Mountains onto West Antarctica. An in-situ development of the WAIS during the middle Miocene suggests that either West Antarctic land elevations were above sea level and/or that air and water temperatures were sufficiently cold to support a marine-based ice sheet. Additional chronostratigraphic and lithologic data are needed from Antarctic margins to test these speculations. (C) 2003 Elsevier B.V. All rights reserved.</t>
  </si>
  <si>
    <t>Louisiana State Univ, Dept Geol &amp; Geophys, Baton Rouge, LA 70803 USA</t>
  </si>
  <si>
    <t>Louisiana State University System; Louisiana State University</t>
  </si>
  <si>
    <t>Bart, PJ (corresponding author), Louisiana State Univ, Dept Geol &amp; Geophys, Baton Rouge, LA 70803 USA.</t>
  </si>
  <si>
    <t>NOV 15</t>
  </si>
  <si>
    <t>10.1016/S0012-821X(03)00509-0</t>
  </si>
  <si>
    <t>748HK</t>
  </si>
  <si>
    <t>WOS:000186856300008</t>
  </si>
  <si>
    <t>Hughes, T</t>
  </si>
  <si>
    <t>Geometrical force balance in glaciology</t>
  </si>
  <si>
    <t>glaciology; geometrical force balance; ice; flow</t>
  </si>
  <si>
    <t>ANTARCTIC ICE-SHEET; NUMERICAL-MODEL; BASAL MELT; STREAM-B; FLOW; DYNAMICS; GLACIER; GREENLAND; CONSTRAINTS; SENSITIVITY</t>
  </si>
  <si>
    <t>The analytical force balance traditionally used in glaciology relates gravitational forcing to ice surface slope for sheet flow and to ice basal buoyancy for shelf flow. It is unable to represent stream flow as a transition from sheet flow to shelf flow by having gravitational forcing gradually passing from being driven by surface slope to being driven by basal buoyancy downslope along the length of an ice steam. This is a serious defect, because ice streams discharge up to 90% of ice from ice sheets into the sea. The defect is overcome by using a geometrical force balance that includes basal buoyancy, represented by the ratio of basal water pressure to ice overburden pressure, as a source of gravitational forcing. When combined with the mass balance, the geometrical force balance provides a holistic approach to ice flow in which resistance to gravitational flow must be summed upstream from the calving front of an ice shelf. This is not done in the analytical force balance, and it provides the ice-thinning rate required by gravitational collapse of ice sheets as interior ice is downdrawn by ice streams.</t>
  </si>
  <si>
    <t>Univ Maine, Bryand Global Sci Ctr, Climate Change Inst, Dept Earth Sci, Orono, ME 04469 USA</t>
  </si>
  <si>
    <t>Univ Maine, Bryand Global Sci Ctr, Climate Change Inst, Dept Earth Sci, Orono, ME 04469 USA.</t>
  </si>
  <si>
    <t>debbies@maine.edu</t>
  </si>
  <si>
    <t>B11</t>
  </si>
  <si>
    <t>10.1029/2003JB002557</t>
  </si>
  <si>
    <t>744XL</t>
  </si>
  <si>
    <t>WOS:000186658100003</t>
  </si>
  <si>
    <t>Ibáñez, JM; Carmona, E; Almendros, J; Saccorotti, G; Del Pezzo, E; Abril, M; Ortiz, R</t>
  </si>
  <si>
    <t>The 1998-1999 seismic series at Deception Island volcano, Antarctica</t>
  </si>
  <si>
    <t>Annual Workshop of the ESC Working Group on Seiemic Phenomena Associated with Volcanic Activity</t>
  </si>
  <si>
    <t>SEP, 2001</t>
  </si>
  <si>
    <t>CANARY ISL, SPAIN</t>
  </si>
  <si>
    <t>volcanic seismicity; long-period events; volcano-tectonic earthquakes; magma injection; Antarctica</t>
  </si>
  <si>
    <t>FREQUENCY EARTHQUAKE SWARMS; BENEATH KILAUEA VOLCANO; LONG-PERIOD EVENTS; HARMONIC TREMOR; REDOUBT VOLCANO; SOUTHERN SPAIN; SIGNALS; SYSTEM; HAWAII; MODELS</t>
  </si>
  <si>
    <t>During the 1998-1999 Antarctic summer the pattern of seismic activity at Deception Island volcano changed significantly. The change was characterized by the occurrence of an intense swarm of volcano-tectonic (VT) earthquakes. More than 2000 VT earthquakes with S-P times smaller than 4 s were recorded in the period January-February 1999. Pure volcanic events were also detected; especially long-period (LP) events, volcanic tremor and some hybrid events. Seismic monitoring was performed using two short-period small-aperture arrays, among other instruments. Based on their signal-to-noise ratios we selected 863 VT earthquakes, 350 LP events and tremor episodes, and 9 hybrid events for analysis. We estimated apparent slowness and back-azimuth for all events using the Zero Lag Cross-Correlation array technique. Combining this information with S-P times and other indirect evidence, we identified two different source regions. LP seismicity is located less than 1-1.5 km southwest of the Fumarole array site. These events are likely to have a hydrothermal origin. VT earthquakes and hybrid events are located at depths of 0.3-10 km in an area under the bay of Deception Island. The area extends from the Fumarole array to the northeast with epicentral distances that range from 0.5 to 12 km. Most hypocenters are clustered in a small volume of around 8 km(3). The sources of the LP seismicity and the VT earthquakes are spatially distinct, which indicates that they are not produced by the same mechanisms. Moment magnitude analyses of the VT earthquakes provide an average magnitude of 0.5 and very low average stress drop, around I bar. A study of first motion of the P-waves suggests that the events in this small source region should have a variety of source mechanisms. This is supported by the existence of families of events with the same waveforms. The occurrence of repeating fracture processes with low stress drop and small fault dimensions can be explained by the lubrication of pre-existing zones of weakness by pressurized fluids. The most probable hypothesis that explains the generation of this seismic series at Deception Island is: a seismic series caused by the stress generated by the uplift of the source area due to a magmatic injection in depth. We favor this hypothesis since it is compatible with the majority of the characteristics of the seismicity and explains the spatial and temporal behavior of the series. (C) 2003 Elsevier B.V. All rights reserved.</t>
  </si>
  <si>
    <t>Univ Granada, Inst andaluz Geofis, E-18071 Granada, Spain; Univ Granada, Dept Fis Teor &amp; Cosmos, Granada, Spain; Osserv Vesuviano, Ist Nazl Geofis &amp; Vulcanol, Naples, Italy; CSIC, Museo Nacl Ciencias Nat, Dept Volcanol, E-28006 Madrid, Spain</t>
  </si>
  <si>
    <t>University of Granada; University of Granada; Istituto Nazionale Geofisica e Vulcanologia (INGV); Consejo Superior de Investigaciones Cientificas (CSIC); CSIC - Museo Nacional de Ciencias Naturales (MNCN)</t>
  </si>
  <si>
    <t>Ibáñez, JM (corresponding author), Univ Granada, Inst andaluz Geofis, Campus Cartuja S-N, E-18071 Granada, Spain.</t>
  </si>
  <si>
    <t>Saccorotti, Gilberto/AAE-1312-2020; Almendros, Javier/M-2468-2014; IBANEZ, JESUS M/G-9910-2019; Del Pezzo, Edoardo/CAJ-4984-2022; Del Pezzo, Edoardo/A-7492-2011</t>
  </si>
  <si>
    <t>Saccorotti, Gilberto/0000-0003-2915-1446; Almendros, Javier/0000-0001-5936-6160; IBANEZ, JESUS M/0000-0002-9846-8781; Abril, Miguel/0000-0001-8537-974X; Del Pezzo, Edoardo/0000-0002-6981-5967</t>
  </si>
  <si>
    <t>10.1016/S0377-0273(03)00247-6</t>
  </si>
  <si>
    <t>747QG</t>
  </si>
  <si>
    <t>WOS:000186815300006</t>
  </si>
  <si>
    <t>Wolff, EW</t>
  </si>
  <si>
    <t>Whither Antarctic sea ice?</t>
  </si>
  <si>
    <t>NOV 14</t>
  </si>
  <si>
    <t>742XW</t>
  </si>
  <si>
    <t>WOS:000186544300039</t>
  </si>
  <si>
    <t>Curran, MAJ; van Ommen, TD; Morgan, VI; Phillips, KL; Palmer, AS</t>
  </si>
  <si>
    <t>Ice core evidence for Antarctic sea ice decline since the 1950s</t>
  </si>
  <si>
    <t>METHANESULFONIC-ACID; LAW DOME; SOUTHERN-OCEAN; EXTENT; CLIMATE; VARIABILITY; TEMPERATURE; RECORD</t>
  </si>
  <si>
    <t>The instrumental record of Antarctic sea ice in recent decades does not reveal a clear signature of warming despite observational evidence from coastal Antarctica. Here we report a significant correlation (P &lt; 0.002) between methanesulphonic acid (MSA) concentrations from a Law Dome ice core and 22 years of satellite-derived sea ice extent (SIE) for the 80°E to 140°E sector. Applying this instrumental calibration to longer term MSA data (1841 to 1995 A. D.) suggests that there has been a 20% decline in SIE since about 1950. The decline is not uniform, showing large cyclical variations, with periods of about 11 years, that confuse trend detection over the relatively short satellite era.</t>
  </si>
  <si>
    <t>Australian Antarctic Div, Dept Environm &amp; Heritage, Hobart, Tas 7001, Australia; Antarctic Climate &amp; Ecosyst Cooperat Res Ctr, Hobart, Tas 7001, Australia; Univ Tasmania, Inst Antarctic &amp; So Ocean Studies, Hobart, Tas 7001, Australia</t>
  </si>
  <si>
    <t>Australian Antarctic Division; Antarctic Climate &amp; Ecosystems Cooperative Research Centre (ACE CRC); University of Tasmania</t>
  </si>
  <si>
    <t>Curran, MAJ (corresponding author), Australian Antarctic Div, Dept Environm &amp; Heritage, Private Bag 80, Hobart, Tas 7001, Australia.</t>
  </si>
  <si>
    <t>10.1126/science.1087888</t>
  </si>
  <si>
    <t>WOS:000186544300052</t>
  </si>
  <si>
    <t>Chu, L; Anastasio, C</t>
  </si>
  <si>
    <t>Quantum yields of hydroxyl radical and nitrogen dioxide from the photolysis of nitrate on ice</t>
  </si>
  <si>
    <t>JOURNAL OF PHYSICAL CHEMISTRY A</t>
  </si>
  <si>
    <t>PHOTOCHEMICAL PRODUCTION; NOX PRODUCTION; CLOUD WATERS; SNOW; GREENLAND; CHEMISTRY; SURFACE; SUMMIT; LAYER; NITRITE</t>
  </si>
  <si>
    <t>Nitrate photolysis proceeds via two major channels at illumination wavelengths above 290 nm: NO3- + hv (+H+) --&gt; NO2 + (OH)-O-. (1) and NO3- + hv --&gt; NO2- + O(P-3) (2). A recent study determined the quantum yield of reaction 1 on ice by measuring NO2 production, but suggested their values might be lower bounds because of incomplete recoveries of NO2. We measured the quantum yield of pathway 1 using an alternate approach, i.e., by following the formation of (OH)-O-.. Our quantum yields for (OH)-O-. (Phi(OH)) at 263 K were independent of nitrate concentration and illumination wavelength (lambda &gt; 300 nm), but were dependent upon pH. Values of Phi(OH) decreased from (3.6 +/- 0.6) x 10(-3) at pH 7.0 to (2.1 +/- 0.8) x 10(-3) at pH 2.0, where the listed pH values are those of the sample solution prior to freezing. Temperature dependence experiments (239-318 K; pH 5.0) showed that values of Phi(OH) in ice pellets and aqueous solutions were both well described by the same regression line, ln(Phi(OH)) = ln(Phi(1)) = -(2400 +/- 480)(1/T) + (3.6 +/- 0.8) (where errors represent +/-1sigma), suggesting that the photolysis of nitrate on ice occurs in a quasi-liquid layer rather than in the bulk ice. Our ice quantum yields between 268 and 240 K are 3-9 times higher, respectively, than Phi(1) values determined previously in ice. Applying our quantum yields to past field experiments indicates that nitrate photolysis can account for the flux of NOx from sunlit snow in the Antarctic and at Summit, Greenland, but that nitrate was only a minor source of the snowpack NOx measured during the Alert 2000 campaign in the Canadian Arctic. Additional calculations show that the photolysis of nitrate on cirrus clouds in the upper troposphere is a minor source of NOx that cannot account for the apparent underestimation of the ratio of NOx/HNO3 in current numerical models.</t>
  </si>
  <si>
    <t>Univ Calif Davis, Dept Land Air &amp; Water Resources, Atmosphere Sci Program, Davis, CA 95616 USA</t>
  </si>
  <si>
    <t>University of California System; University of California Davis</t>
  </si>
  <si>
    <t>Anastasio, C (corresponding author), Univ Calif Davis, Dept Land Air &amp; Water Resources, Atmosphere Sci Program, 1 Shields Ave, Davis, CA 95616 USA.</t>
  </si>
  <si>
    <t>1089-5639</t>
  </si>
  <si>
    <t>J PHYS CHEM A</t>
  </si>
  <si>
    <t>J. Phys. Chem. A</t>
  </si>
  <si>
    <t>NOV 13</t>
  </si>
  <si>
    <t>10.1021/jp0349132</t>
  </si>
  <si>
    <t>740WJ</t>
  </si>
  <si>
    <t>WOS:000186425000014</t>
  </si>
  <si>
    <t>Kandachi, K</t>
  </si>
  <si>
    <t>Antarctic research frozen out of Japan's budget plans</t>
  </si>
  <si>
    <t>10.1038/426108a</t>
  </si>
  <si>
    <t>742LA</t>
  </si>
  <si>
    <t>WOS:000186517200003</t>
  </si>
  <si>
    <t>Silvestri, GE; Vera, CS</t>
  </si>
  <si>
    <t>Antarctic Oscillation signal on precipitation anomalies over southeastern South America</t>
  </si>
  <si>
    <t>SEA-SURFACE TEMPERATURE; LOW-FREQUENCY VARIABILITY; ZONAL WIND VACILLATION; INTERANNUAL VARIABILITY; FLOW VACILLATION; CIRCULATION; HEMISPHERE; MODES; CLIMATE; OCEAN</t>
  </si>
  <si>
    <t>The relation between the Antarctic Oscillation (AAO) and the precipitation in southeastern South America (SESA) is examined. The AAO influence is particularly strong during winter and late spring although of opposite sign. In particular during spring, AAO positive (negative) phases are associated with the intensification of an upper-level anticyclonic (cyclonic) anomaly, weakened (enhanced) moisture convergence and decreased (increased) precipitation over SESA. The combined influence of both ENSO and AAO on SESA precipitation was also explored and significant correlation values between both oscillations are only observed during spring. Results show that during that particular season, AAO activity produces a strong modulation of the ENSO signal on SESA precipitation.</t>
  </si>
  <si>
    <t>Consejo Nacl Invest Cient &amp; Tecn, CIMA, Buenos Aires, DF, Argentina; Univ Buenos Aires, Dept Ciencias Atmosfera &amp; Oceanos, RA-1053 Buenos Aires, DF, Argentina</t>
  </si>
  <si>
    <t>Silvestri, GE (corresponding author), Consejo Nacl Invest Cient &amp; Tecn, CIMA, Buenos Aires, DF, Argentina.</t>
  </si>
  <si>
    <t>Vera, Carolina/0000-0003-4032-5232; Silvestri, Gabriel/0000-0002-5011-559X</t>
  </si>
  <si>
    <t>NOV 12</t>
  </si>
  <si>
    <t>10.1029/2003GL018277</t>
  </si>
  <si>
    <t>744UR</t>
  </si>
  <si>
    <t>WOS:000186651700003</t>
  </si>
  <si>
    <t>Dyurgerov, M</t>
  </si>
  <si>
    <t>Mountain and subpolar glaciers show an increase in sensitivity to climate warming and intensification of the water cycle</t>
  </si>
  <si>
    <t>JOURNAL OF HYDROLOGY</t>
  </si>
  <si>
    <t>glacier variations; climate change; sea level rise; global water cycle</t>
  </si>
  <si>
    <t>MASS-BALANCE; TEMPERATURE</t>
  </si>
  <si>
    <t>The time-series of all available records of seasonal and annual glacier mass balances, equilibrium line altitude, accumulation area ratio and change in surface area of about 300 glaciers have been compiled, digitized, quality checked and analyzed over the period of almost four decades (1961 - 1998). These time-series show significant changes towards loss in glacier area and volume in global scale with accelerated rate, especially since the end of 1980's. The remarkable feature in this change is the increase of both winter and summer balances, which implies that glaciers are intensifying the water cycle in time of global warming. The sensitivity of glacier mass balance in regard to temperature and precipitation has also increased which resulted in an increase of glacier contribution to sea level rise from 0.15 mm/yr in 1961 - 1976 (10% of total sea-level rise) to 0.41 mm/yr in 1988 - 1998 (27% of total sea-level rise). Glacier contribution to the ocean has the potential to grow due to increasing snow accumulation and involving into the water cycle larger areas of individual glaciers around the Antarctic ice sheet. (C) 2003 Elsevier B.V. All rights reserved.</t>
  </si>
  <si>
    <t>Univ Colorado, Inst Arct &amp; Alpine Res, Boulder, CO 80309 USA</t>
  </si>
  <si>
    <t>Univ Colorado, Inst Arct &amp; Alpine Res, 1560 30th St Campus Box 450, Boulder, CO 80309 USA.</t>
  </si>
  <si>
    <t>dyurg@tintin.colorado.edu</t>
  </si>
  <si>
    <t>0022-1694</t>
  </si>
  <si>
    <t>1879-2707</t>
  </si>
  <si>
    <t>J HYDROL</t>
  </si>
  <si>
    <t>J. Hydrol.</t>
  </si>
  <si>
    <t>NOV 10</t>
  </si>
  <si>
    <t>10.1016/S0022-1694(03)00254-3</t>
  </si>
  <si>
    <t>Engineering, Civil; Geosciences, Multidisciplinary; Water Resources</t>
  </si>
  <si>
    <t>Engineering; Geology; Water Resources</t>
  </si>
  <si>
    <t>740BV</t>
  </si>
  <si>
    <t>WOS:000186381700013</t>
  </si>
  <si>
    <t>Goodwin, I; de Angelis, M; Pook, M; Young, NW</t>
  </si>
  <si>
    <t>Snow accumulation variability in Wilkes Land, East Antarctica, and the relationship to atmospheric ridging in the 130°-170°E region since 1930 -: art. no. 4673</t>
  </si>
  <si>
    <t>snow accumulation; East Antarctica; snow chemistry</t>
  </si>
  <si>
    <t>POLAR ICE CORES; SOUTHERN-HEMISPHERE; SEA-SALT; NITRATE; REANALYSIS; FIRN; CIRCULATION; DEPOSITION; PRESSURE; BLOCKING</t>
  </si>
  <si>
    <t>Wilkes Land annual snow accumulation variability is explored together with ice core chemistry data as proxies for circumpolar atmospheric circulation in the 110degreesE-135degreesE sector of the circumpolar trough. Four accumulation time series spanning 1930-1985 show a pattern of accumulation related to maritime air mass incursions over the East Antarctic ice sheet slope, which is regionally consistent on interannual and interdecadal timescales. The temporal accumulation pattern in Wilkes Land shows decadal fluctuations of +/-10%. Both these fluctuations and the overall trend of increasing accumulation since the middle 1960s are consistent with a poleward shift and intensification of the circumpolar trough. This is consistent with a shift toward the high index state of the southern annular mode. Interannual variability of snow accumulation rate throughout Wilkes Land was found to be dependent upon shifts in the preferred tracks of cyclones along or across the coast and in the location of cyclolysis regions. Significant differences in this temporal accumulation pattern over Wilkes Land can occur as a result of the time-varying location of atmospheric ridging and the circumpolar long-wave structure south of New Zealand and Australia. Snow accumulation at an additional site (GD09) displays a well-defined interdecadal pattern, and the mean annual nitrate (NO3-) concentration of snow is correlated to the winter sea level pressure gradient between East Antarctica and the sub-Antarctic and the upper geopotential height and zonal wind data over East Antarctica. Strong, surface wind drainage during tropospheric ridging in Wilkes Land produces anomalous snow accumulation and annual mean NO3- concentration in firn at GD09.</t>
  </si>
  <si>
    <t>Univ Newcastle, Sch Environm &amp; Life Sci, Callaghan, NSW 2308, Australia; CNRS, Lab Glaciol &amp; Geophys Environm, St Martin Dheres, France; Univ Tasmania, Antarctic Cooperat Res Ctr, Hobart, Tas 7001, Australia; Australian Antarctic Div, Hobart, Tas 7001, Australia</t>
  </si>
  <si>
    <t>University of Newcastle; Centre National de la Recherche Scientifique (CNRS); University of Tasmania; Australian Antarctic Division</t>
  </si>
  <si>
    <t>Univ Newcastle, Sch Environm &amp; Life Sci, Callaghan, NSW 2308, Australia.</t>
  </si>
  <si>
    <t>goodwin@newcastle.edu.au</t>
  </si>
  <si>
    <t>Pook, Michael J/A-3810-2012</t>
  </si>
  <si>
    <t>Goodwin, Ian/0000-0001-8682-6409; Young, Neal/0000-0001-9729-3273</t>
  </si>
  <si>
    <t>NOV 8</t>
  </si>
  <si>
    <t>D21</t>
  </si>
  <si>
    <t>10.1029/2002JD002995</t>
  </si>
  <si>
    <t>742GG</t>
  </si>
  <si>
    <t>WOS:000186508600001</t>
  </si>
  <si>
    <t>Fjeldså, J; Zuccon, D; Irestedt, M; Johansson, US; Ericson, PGP</t>
  </si>
  <si>
    <t>Sapayoa aenigma:: a New World representative of 'Old World suboscines'</t>
  </si>
  <si>
    <t>avian systematics; biogeography; suboscines; Sapayoa aenigma</t>
  </si>
  <si>
    <t>DNA SEQUENCE DATA; PASSERINE BIRDS; PHYLOGENY; TYRANNOIDEA; EVOLUTION; BIOGEOGRAPHY; MORPHOLOGY; INFERENCE; AVES</t>
  </si>
  <si>
    <t>Passerine birds are very plastic in their adaptations, which has made it difficult to define phylogenetic lineages and correctly allocate all species to these. Sapayoa aenigma, a member of the large group of New World flycatchers, has been difficult to place, and DNA-DNA hybridization experiments have indicated that it may have been misplaced. This is confirmed here, as base sequencing of two nuclear genes places, it as a deep branch in the group of broadbills and pittas of the Old World tropics. The peculiar distribution of this lineage may be best explained in terms of a Gondwanic and Late Cretaceous origin of the passerine birds, as this particular lineage dispersed from the Antarctic landmass, reaching the Old World tropics via the drifting Indian plate, and South America via the West Antarctic Peninsula.</t>
  </si>
  <si>
    <t>Univ Copenhagen, Zool Museum, DK-2100 Copenhagen, Denmark; Univ Turin, Dipartimento Biol Anim Uomo, I-10123 Turin, Italy; Swedish Museum Nat Hist, SE-10405 Stockholm, Sweden; Univ Stockholm, Dept Zool, SE-10691 Stockholm, Sweden</t>
  </si>
  <si>
    <t>University of Copenhagen; University of Turin; Swedish Museum of Natural History; Stockholm University</t>
  </si>
  <si>
    <t>Fjeldså, J (corresponding author), Univ Copenhagen, Zool Museum, DK-2100 Copenhagen, Denmark.</t>
  </si>
  <si>
    <t>jfjeldsaa@zmuc.ku.dk</t>
  </si>
  <si>
    <t>Irestedt, Martin/AAF-2525-2019; Fjeldså, Jon/A-9699-2013; Zuccon, Dario/AAF-7055-2020</t>
  </si>
  <si>
    <t>Fjeldså, Jon/0000-0003-0790-3600; Zuccon, Dario/0000-0001-8236-5924; Johansson, Ulf/0000-0002-2544-8528</t>
  </si>
  <si>
    <t>NOV 7</t>
  </si>
  <si>
    <t>S238</t>
  </si>
  <si>
    <t>S241</t>
  </si>
  <si>
    <t>10.1098/rsbl.2003.0075</t>
  </si>
  <si>
    <t>744ZL</t>
  </si>
  <si>
    <t>WOS:000186662700034</t>
  </si>
  <si>
    <t>Peck, LS; Chapelle, G</t>
  </si>
  <si>
    <t>Reduced oxygen at high altitude limits maximum size</t>
  </si>
  <si>
    <t>size limits; oxygen availability; gigantism; temperature; amphipod</t>
  </si>
  <si>
    <t>AMPHIPODS</t>
  </si>
  <si>
    <t>The trend towards large size in marine animals with latitude, and the existence of giant marine species in polar regions have long been recognized, but remained enigmatic until a recent study showed it to be an effect of increased oxygen availability in sea water of a low temperature. The effect was apparent in data from 12 sites worldwide because of variations in water oxygen content controlled by differences in temperature and salinity. Another major physical factor affecting oxygen content in aquatic environments is reduced pressure at high altitude. Suitable data from high-altitude sites are very scarce. However, an exceptionally rich crustacean collection, which remains largely undescribed, was obtained by the British 1937 expedition from Lake Titicaca on the border between Peru and Bolivia in the Andes at an altitude of 3809 in. We show that in Lake Titicaca the maximum length of amphipods is 2-4 times smaller than other low-salinity sites (Caspian Sea and Lake Baikal).</t>
  </si>
  <si>
    <t>Nat Environm Res Council, British Antarctic Survey, Cambridge CB3 0ET, England; Inst Royal Sci Nat Bruxelles, B-1000 Brussels, Belgium</t>
  </si>
  <si>
    <t>Peck, LS (corresponding author), Nat Environm Res Council, British Antarctic Survey, Madingley Rd, Cambridge CB3 0ET, England.</t>
  </si>
  <si>
    <t>S166</t>
  </si>
  <si>
    <t>S167</t>
  </si>
  <si>
    <t>10.1098/rsbl.2003.0054</t>
  </si>
  <si>
    <t>WOS:000186662700012</t>
  </si>
  <si>
    <t>Karasová-Lipovová, P; Strnad, H; Spiwok, V; Malá, S; Králová, B; Russell, NJ</t>
  </si>
  <si>
    <t>The cloning, purification and characterisation of a cold-active β-galactosidase from the psychrotolerant Antarctic bacterium Arthrobacter sp C2-2</t>
  </si>
  <si>
    <t>ENZYME AND MICROBIAL TECHNOLOGY</t>
  </si>
  <si>
    <t>beta-galactosidase; cold-active enzyme; psychrotrophic microorganisms</t>
  </si>
  <si>
    <t>PHYLOGENETIC ANALYSES; GENE; BIOTECHNOLOGY; ISOLATE; ENZYMES</t>
  </si>
  <si>
    <t>The Gram-positive Antarctic bacterium Arthrobacter sp. C2-2 contains two, possibly three cold-active isoenzymes of beta-galactosidase. The C2-2-1 isoenzyme was cloned, purified and characterised. This beta-galactosidase was classified as being a member of the Family 2 of glycosidases. It is a homotetrameric enzyme, each subunit being composed of 1023 arnino acids and it shows great activity towards lactose as a substrate. The C2-2-1 isoenzyme is particularly cold-active, compared to other beta-galactosidases including those from some closely-related bacteria, retaining 20% of activity at 10degreesC compared with maximum values. The temperature optimum of the purified enzyme was 40degreesC using lactose as the substrate. The enzyme is particularly thermolabile, losing all activity within 10 min at 50degreesC. The isoelectric point of the enzyme was 5.9. Dithiothreitol and Mg2+ ions were strong activators, whereas Cu2+, Al3+ and Tris were strong inhibitors of activity. The enzyme exhibited transglycosylation ability and the highest concentration of trisaccharides (34 mM) was formed after 10h at 15degreesC, which is an activity comparable with that of the commercial enzymes. Therefore, the C2-2-1,1,beta-galactosidase isoenzyme of Arthrobacter sp. C2-2 has the particular advantage that it could be used as a biotechnological tool in the production of lactose-reduced dairy products at refrigeration temperatures. (C) 2003 Elsevier Inc. All rights reserved.</t>
  </si>
  <si>
    <t>Inst Chem Technol, Dept Biochem &amp; Microbiol, Prague, Czech Republic; Ctr Integrated Genom, Prague, Czech Republic; Imperial Coll, Dept Agr Sci, Ashford TN25 5AH, Kent, England</t>
  </si>
  <si>
    <t>University of Chemistry &amp; Technology, Prague; Imperial College London</t>
  </si>
  <si>
    <t>petra.karasova@vscht.cz</t>
  </si>
  <si>
    <t>Spiwok, Vojtech/A-7747-2008; Lipovova, Petra/Q-7187-2017; Strnad, Hynek/B-7361-2008</t>
  </si>
  <si>
    <t>Spiwok, Vojtech/0000-0001-8108-2033; Lipovova, Petra/0000-0003-2275-3479</t>
  </si>
  <si>
    <t>0141-0229</t>
  </si>
  <si>
    <t>1879-0909</t>
  </si>
  <si>
    <t>ENZYME MICROB TECH</t>
  </si>
  <si>
    <t>Enzyme Microb. Technol.</t>
  </si>
  <si>
    <t>NOV 5</t>
  </si>
  <si>
    <t>10.1016/S0141-0229(03)00211-4</t>
  </si>
  <si>
    <t>Biotechnology &amp; Applied Microbiology</t>
  </si>
  <si>
    <t>728BV</t>
  </si>
  <si>
    <t>WOS:000185696100010</t>
  </si>
  <si>
    <t>Arthern, RJ; Hindmarsh, RCA</t>
  </si>
  <si>
    <t>Optimal estimation of changes in the mass of ice sheets</t>
  </si>
  <si>
    <t>ice sheet; assimilation; sea level; altimetry; interferometry</t>
  </si>
  <si>
    <t>SNOW ACCUMULATION; ELEVATION CHANGE; GREENLAND; BALANCE; GLACIER; SYSTEM; MODEL</t>
  </si>
  <si>
    <t>We describe a new approach for estimating changes in ice sheet mass. Two methods are in common use: the ice budget and geodetic methods. The first makes use of separate estimates of the mass fluxes into and out of a domain, differencing them to obtain the local mass balance. The second estimates mass balance directly, using measurements of the change in surface elevation, often from aircraft or satellites. Here we combine ice budget and geodetic approaches to obtain an optimal estimate of mass balance. We seek maximum likelihood solutions for three terms: (1) the rate of change of surface elevation, (2) the rate of snow accumulation, and (3) the local divergence of the ice flux. These estimates are constrained to obey the continuity equation. We allow the location and temporal averaging interval of the estimates to be chosen arbitrarily. This approach can use all relevant measurements. The fidelity of any measurement is lowered by measurement error, and by fluctuations in each of the three terms driven by random year-to-year snowfall variations. We take full account of both error sources, weighting the data so as to minimize the confounding effect of these influences. Realistic covariance between randomly forced fluctuations are provided by a linearized model of ice sheet flow. We test the approach by applying the algorithm to synthetically generated measurements. The method performs better than either ice budget or geodetic methods applied in isolation, and has the important advantage that good estimates may still be derived when measurements appropriate to either technique are lacking or inaccurate.</t>
  </si>
  <si>
    <t>rart@bas.ac.uk; rcah@bas.ac.uk</t>
  </si>
  <si>
    <t>F16007</t>
  </si>
  <si>
    <t>10.1029/2003JF000021</t>
  </si>
  <si>
    <t>863MN</t>
  </si>
  <si>
    <t>WOS:000224566100001</t>
  </si>
  <si>
    <t>Ajtic, JV; Connor, BJ; Randall, CE; Lawrence, BN; Bodeker, GE; Rosenfield, JE; Heuff, DN</t>
  </si>
  <si>
    <t>Antarctic air over New Zealand following vortex breakdown in 1998</t>
  </si>
  <si>
    <t>atmospheric composition and structure; middle atmosphere composition and chemistry; meteorology and atmospheric dynamics; middle atmosphere dynamics</t>
  </si>
  <si>
    <t>STRATOSPHERIC POLAR VORTEX; OZONE DEPLETION; POTENTIAL VORTICITY; POAM-II; TRANSPORT; HOLE; ER-2; RECONSTRUCTION; SATELLITE; LATITUDES</t>
  </si>
  <si>
    <t>An ozonesonde profile over the Network for Detection of Stratospheric Change (NDSC) site at Lauder (45.0degrees S, 169.7degrees E), New Zealand, for 24 December 1998 showed atypically low ozone centered around 24 km altitude (600 K potential temperature). The origin of the anomaly is explained using reverse domain filling (RDF) calculations combined with a PV/O-3 fitting technique applied to ozone measurements from the Polar Ozone and Aerosol Measurement (POAM) III instrument. The RDF calculations for two isentropic surfaces, 550 and 600 K, show that ozone-poor air from the Antarctic polar vortex reached New Zealand on 2426 December 1998. The vortex air on the 550 K isentrope originated in the ozone hole region, unlike the air on 600 K where low ozone values were caused by dynamical effects. High-resolution ozone maps were generated, and their examination shows that a vortex remnant situated above New Zealand was the cause of the altered ozone profile on 24 December. The maps also illustrate mixing of the vortex filaments into southern midlatitudes, whereby the overall midlatitude ozone levels were decreased.</t>
  </si>
  <si>
    <t>Natl Inst Water &amp; Atmospher Res, Omakau 9182, Central Otago, New Zealand; Univ Canterbury, Dept Phys &amp; Astron, Christchurch 8020, New Zealand; Univ Colorado, Atmospher &amp; Space Phys Lab, Boulder, CO 80309 USA; Rutherford Appleton Lab, British Atmospher Data Ctr, Didcot OX11 0QX, Oxon, England; NASA, Goddard Space Flight Ctr, Goddard Earth Sci &amp; Technol Ctr, Greenbelt, MD 20771 USA</t>
  </si>
  <si>
    <t>National Institute of Water &amp; Atmospheric Research (NIWA) - New Zealand; University of Canterbury; University of Colorado System; University of Colorado Boulder; UK Research &amp; Innovation (UKRI); Science &amp; Technology Facilities Council (STFC); STFC Rutherford Appleton Laboratory; National Aeronautics &amp; Space Administration (NASA); NASA Goddard Space Flight Center</t>
  </si>
  <si>
    <t>Univ Canterbury, Dept Phys &amp; Astron, Private Bag 4800, Christchurch 8020, New Zealand.</t>
  </si>
  <si>
    <t>j.ajtic@niwa.co.nz</t>
  </si>
  <si>
    <t>Ajtic, Jelena/HKO-2665-2023; Bodeker, Greg E/A-8870-2008; RANDALL, CORA/L-8760-2014</t>
  </si>
  <si>
    <t>Ajtic, Jelena/0000-0001-8200-4168; RANDALL, CORA/0000-0002-4313-4397; Bodeker, Gregory/0000-0003-1094-5852; Lawrence, Bryan/0000-0001-9262-7860</t>
  </si>
  <si>
    <t>NOV</t>
  </si>
  <si>
    <t>10.5194/angeo-21-2175-2003</t>
  </si>
  <si>
    <t>775NN</t>
  </si>
  <si>
    <t>Green Submitted, Green Published, gold</t>
  </si>
  <si>
    <t>WOS:000189047700005</t>
  </si>
  <si>
    <t>Brinkmeyer, R; Knittel, K; Jürgens, J; Weyland, H; Amann, R; Helmke, E</t>
  </si>
  <si>
    <t>Diversity and structure of bacterial communities in arctic versus antarctic pack ice</t>
  </si>
  <si>
    <t>16S RIBOSOMAL-RNA; TARGETED OLIGONUCLEOTIDE PROBES; DISSOLVED ORGANIC-MATTER; GAS VACUOLATE BACTERIA; IN-SITU HYBRIDIZATION; SEA-ICE; SP. NOV.; PHYLOGENETIC DIVERSITY; GEN. NOV.; PSYCHROPHILIC BACTERIA</t>
  </si>
  <si>
    <t>A comprehensive assessment of bacterial diversity and community composition in arctic and antarctic pack ice was conducted through cultivation and cultivation-independent molecular techniques. We sequenced 16S rRNA genes from 115 and 87 pure cultures of bacteria isolated from arctic and antarctic pack ice, respectively. Most of the 33 arctic phylotypes were &gt;97% identical to previously described antarctic species or to our own antarctic isolates. At both poles, the alpha- and gamma-proteobacteria and the Cytophaga-Flavobacterium group were the dominant taxonomic bacterial groups identified by cultivation as well as by molecular methods. The analysis of 16S rRNA gene clone libraries from multiple arctic and antarctic pack ice samples revealed a high incidence of closely overlapping 16S rRNA gene clone and isolate sequences. Simultaneous analysis of environmental samples with fluorescence in situ hybridization (FISH) showed that similar to95% of 4',6'-diamidino-2-phenylindole (DAPI)-stained cells hybridized with the general bacterial probe EUB338. More than 90% of those were further assignable. Approximately 50 and 36% were identified as gamma-proteobacteria in arctic and antarctic samples, respectively. Approximately 25% were identified as alpha-proteobacteria, and 25% were identified as belonging to the Cytophaga-Flavobacterium group. For the quantification of specific members of the sea ice community, new oligonucleotide probes were developed which target the genera Octadecabacter, Glaciecola, Psychrobacter, Marinobacter, Shewanella, and Polaribacter. High FISH detection rates of these groups as well as high viable counts corroborated the overlap of clone and isolate sequences. A terrestrial influence on the arctic pack ice community was suggested by the presence of limnic phylotypes.</t>
  </si>
  <si>
    <t>Alfred Wegener Inst Polar &amp; Marine Res, D-27570 Bremerhaven, Germany; Max Planck Inst Marine Microbiol, Bremen, Germany</t>
  </si>
  <si>
    <t>Helmholtz Association; Alfred Wegener Institute, Helmholtz Centre for Polar &amp; Marine Research; Max Planck Society</t>
  </si>
  <si>
    <t>Helmke, E (corresponding author), Alfred Wegener Inst Polar &amp; Marine Res, Handelshafen 12, D-27570 Bremerhaven, Germany.</t>
  </si>
  <si>
    <t>chelmke@awi-bremerhaven.de</t>
  </si>
  <si>
    <t>Amann, Rudolf/C-6534-2014</t>
  </si>
  <si>
    <t>Amann, Rudolf/0000-0002-0846-7372</t>
  </si>
  <si>
    <t>10.1128/AEM.69.11.6610-6619.2003</t>
  </si>
  <si>
    <t>740XK</t>
  </si>
  <si>
    <t>WOS:000186427800036</t>
  </si>
  <si>
    <t>Buchner, O; Neuner, G</t>
  </si>
  <si>
    <t>Variability of heat tolerance in alpine plant species measured at different altitudes</t>
  </si>
  <si>
    <t>VIVO CHLOROPHYLL FLUORESCENCE; HIGH-TEMPERATURE; ELEVATED CO2; PHOTOSYNTHESIS; RESISTANCE; LEAVES; DAMAGE; ACCLIMATION; TRIDENTATA; DROUGHT</t>
  </si>
  <si>
    <t>We monitored variability of heat tolerance, osmotic water potential, and microclimate for seven alpine plant species at field sites and in response to a controlled in situ heat treatment (+3 K) using infrared lamps. Mean and maximum heat tolerance differed significantly between species and were clearly related to growth form and moisture conditions in the preferred microhabitat. Diurnal heat tolerance changes greater than +/- 1.5 K occurred on 18% of summer days at a velocity of 0.4-2.2 K h(-1). The diurnal heat tolerance amplitude ranged from 4.8 to 9.5 K, exceeding even the seasonal amplitudes (5-8 K) previously reported for other higher plant species. Heat tolerance increased under warmer microsite conditions and in warmer years. Long-term artificial heating by +3 K led to a significant (P &gt; 0.01) increase in heat tolerance by +0.6 K. Under drought stress, heat tolerance was reduced to minimum values, with the exception of xerophytic species. The plant species investigated appeared to be very well adapted to the temperature conditions of their microhabitat, with the exception of the cushion plant Minuartia recurva, which recurrently experienced heat damage during the investigation.</t>
  </si>
  <si>
    <t>Univ Innsbruck, Inst Bot, Sternwartestr 15, A-6020 Innsbruck, Austria.</t>
  </si>
  <si>
    <t>othmar.buchner@aon.at</t>
  </si>
  <si>
    <t>; Neuner, Gilbert/J-9909-2017</t>
  </si>
  <si>
    <t>Buchner, Othmar/0000-0003-0733-6562; Neuner, Gilbert/0000-0003-2415-6125</t>
  </si>
  <si>
    <t>10.1657/1523-0430(2003)035[0411:VOHTIA]2.0.CO;2</t>
  </si>
  <si>
    <t>780KT</t>
  </si>
  <si>
    <t>WOS:000189380400001</t>
  </si>
  <si>
    <t>Doak, DF; Loso, MG</t>
  </si>
  <si>
    <t>Effects of grizzly bear digging on alpine plant community structure</t>
  </si>
  <si>
    <t>GRASSLAND PERENNIALS; POPULATION-DYNAMICS; GROWTH FORM; COMPETITION; DISTURBANCES; VEGETATION; DIVERSITY; PRAIRIE; DESERT; TUNDRA</t>
  </si>
  <si>
    <t>In Alaskan alpine tundra, grizzly bears excavate deep holes in search of ground squirrels, but few studies have tested the importance of grizzlies, or other large mammals, in maintaining plant community structure. We examined 43 bear digs, asking how they affect plant species richness and diversity, recolonization patterns, and plants with different clonal growth strategies. Bears remove most vegetation from digs, and recovering digs had lower species richness than adjacent mature tundra. Mature tundra alone, however, had significantly fewer species than mature tundra and bear digs combined, suggesting that bear digs contribute to the overall richness of tundra communities. Digs develop the highest plant richness and diversity at intermediate ages, but even in new digs the overall species composition is similar to adjacent tundra. Plants of different clonal growth forms reacted differently to bear digs. The two species significantly more common in digs than elsewhere have a nonspreading (phalanx) clonal habit, whereas five of six plant species significantly more common in mature tundra are capable of rapid, diffuse (guerrilla) clonal growth. Overall, bear digs cause less pronounced effects on community composition than mammalian diggings in some other systems, possibly because subarctic alpine tundra is already characterized by high levels of abiotic disturbance.</t>
  </si>
  <si>
    <t>Univ Calif Santa Cruz, Dept Ecol &amp; Evolutionary Biol, Santa Cruz, CA 95064 USA; Univ Calif Santa Cruz, Dept Earth Sci, Santa Cruz, CA 95064 USA</t>
  </si>
  <si>
    <t>University of California System; University of California Santa Cruz; University of California System; University of California Santa Cruz</t>
  </si>
  <si>
    <t>Univ Calif Santa Cruz, Dept Ecol &amp; Evolutionary Biol, Santa Cruz, CA 95064 USA.</t>
  </si>
  <si>
    <t>doak@biology.ucsc.edu; mloso@es.ucsc.edu</t>
  </si>
  <si>
    <t>Loso, Michael/0000-0001-8414-2310</t>
  </si>
  <si>
    <t>10.1657/1523-0430(2003)035[0421:EOGBDO]2.0.CO;2</t>
  </si>
  <si>
    <t>WOS:000189380400002</t>
  </si>
  <si>
    <t>Linhart, YB; Gehring, JL</t>
  </si>
  <si>
    <t>Genetic variability and its ecological implications in the clonal plant Carex scopulorum Holm in Colorado tundra</t>
  </si>
  <si>
    <t>ALLOZYME VARIATION; POPULATION-STRUCTURE; PONDEROSA PINE; DIVERSITY; ALPINE; DIFFERENTIATION; CYPERACEAE; PATTERNS; MOLLIS; MAIZE</t>
  </si>
  <si>
    <t>We assayed the amount and distribution of genetic variability in the clonal polyploid plant Carex scopulorum var. scopulorum. We used 5 polymorphic, protein loci to sample 7 populations on the tundra in Rocky Mountain National Park, Colorado, U.S.A. Carex has levels of variability comparable to those found in nonclonal species. In the loci studied, transmission is disomic, as in diploid species. Of 148 tillers tested, 59.5% had different 5-locus genotypes. The distributions of genotypes fit Hardy-Weinberg expectations at 4 loci in most populations. These results suggest that there is significant cross-pollination and establishment by seed in this tundra plant. There were significant differences in allele frequencies between adjacent populations occupying wet versus moist environments at alcohol dehydrogenase, an enzyme known to be relevant to metabolism under oxygen-limiting conditions. There was no relationship between geographic distance and genetic distance at the scale we studied.</t>
  </si>
  <si>
    <t>Univ Colorado, Dept Ecol &amp; Evolutionary Biol, Boulder, CO 80309 USA; Bradley Univ, Dept Biol, Peoria, IL 61625 USA</t>
  </si>
  <si>
    <t>University of Colorado System; University of Colorado Boulder; Bradley University</t>
  </si>
  <si>
    <t>Univ Colorado, Dept Ecol &amp; Evolutionary Biol, 334 UCB, Boulder, CO 80309 USA.</t>
  </si>
  <si>
    <t>Yan.Linhart@colorado.edu</t>
  </si>
  <si>
    <t>10.1657/1523-0430(2003)035[0429:GVAIEI]2.0.CO;2</t>
  </si>
  <si>
    <t>WOS:000189380400003</t>
  </si>
  <si>
    <t>Dullinger, S; Dirnböck, T; Grabherr, G</t>
  </si>
  <si>
    <t>Patterns of shrub invasion into high mountain grasslands of the Northern Calcareous Alps, Austria</t>
  </si>
  <si>
    <t>SPATIAL-DISTRIBUTION; SEED DISPERSAL; TUNDRA ECOTONE; NATIONAL-PARK; CLIMATE; RANGE; USA; VEGETATION; COMMUNITY; DYNAMICS</t>
  </si>
  <si>
    <t>Both land use and expected climate change will probably cause range shifts of tree and shrub species in the European Alps. Attempts to predict the magnitude and direction of these processes will produce reliable results only if they consider both abiotic habitat conditions and biotic interactions. In this study we analyze recruitment patterns of Pinus mugo Turra in different grassland communities of the Northern Calcareous Alps, Austria. Pinus mugo is the most important invader of abandoned subalpine pastures in the area and the predominant woody plant at the current timberline. Results indicate strong dependence of colonization success on propagule pressure and differential invasibility of grassland types but only a marginal impact of local-scale site conditions, at least within the species' current altitudinal distribution limits. Because the grassland matrix at and above the current treeline is dominated by a particularly invasible grassland type, a possible climate change-driven upward movement of Pinus mugo shrublands may take place quite rapidly. In contrast, encroachment on abandoned subalpine pastures is frequently delayed by competition with vigorous grassland canopies.</t>
  </si>
  <si>
    <t>Univ Vienna, Inst Ecol &amp; Conservat Biol, A-1090 Vienna, Austria; Fed Environm Agcy, A-1090 Vienna, Austria</t>
  </si>
  <si>
    <t>University of Vienna</t>
  </si>
  <si>
    <t>Univ Vienna, Inst Ecol &amp; Conservat Biol, Althanstr 14, A-1090 Vienna, Austria.</t>
  </si>
  <si>
    <t>dull@pflaphy.pph.univie.ac.at; dirnboeck@ubavie.gv.at</t>
  </si>
  <si>
    <t>Dullinger, Stefan/0000-0003-3919-0887</t>
  </si>
  <si>
    <t>10.1657/1523-0430(2003)035[0434:POSIIH]2.0.CO;2</t>
  </si>
  <si>
    <t>WOS:000189380400004</t>
  </si>
  <si>
    <t>Gremmen, NJM; Smith, VR; van Tongeren, OFR</t>
  </si>
  <si>
    <t>Impact of trampling on the vegetation of subantarctic Marion Island</t>
  </si>
  <si>
    <t>PLANTS</t>
  </si>
  <si>
    <t>We assessed the impact of human trampling in three different habitats on Marion Island (46degrees50'S, 37degrees50'E). The habitats were (1) mires with wet, peaty soils and grass- and bryophyte-dominated vegetation; (2) slopes with relatively dry mineral soils, dominated by small ferns and dwarf shrub; and (3) feldmark on dry mineral soils with an open vegetation of cushion dicots and bryophytes. We Track width (25 to 800 cm) increased with soil moisture content. Trampling reduced vegetation height, total cover, and species richness in mires and feldmark and vegetation height and herb layer cover (but not bryophyte cover or species richness) in slopes. In mires, most species were negatively affected by trampling, but in slopes trampling increased the cover of 6 out of 9 significantly affected species. The total number of species in all trampled plots in mire and feldmark communities was similar to10% lower, but in slopes 28% higher, than in control plots. The impact of trampling differed between growth forms. Cushion dicot, shrub, and fern covers were reduced, whereas graminoid and pleurocarpous moss covers were unaffected or increased with trampling. Trampling reduced the cover of most bryophyte species, but it did increase the cover of some. In the slope habitat, destruction by trampling of the closed herb canopy allows increased light penetration and makes the habitat more favorable for small plants such as bryophytes. We attribute the differences in how the vegetation of different habitats responds to trampling to differences in the structure of the original vegetation as well as differences in soil characteristics, especially the soil's structural stability under pressure. examined existing walking tracks on the island.</t>
  </si>
  <si>
    <t>NIOO CEMO, NL-4400 AC Yerseke, Netherlands; Univ Stellenbosch, Dept Bot, ZA-7602 Matieland, South Africa; Data Anal Ecol, NL-7981 CD Diever, Netherlands</t>
  </si>
  <si>
    <t>Royal Netherlands Academy of Arts &amp; Sciences; Netherlands Institute of Ecology (NIOO-KNAW); Stellenbosch University</t>
  </si>
  <si>
    <t>Data Anal Ecol, Hesselsstr 11, NL-7981 CD Diever, Netherlands.</t>
  </si>
  <si>
    <t>grerninen@wxs.nl</t>
  </si>
  <si>
    <t>10.1657/1523-0430(2003)035[0442:IOTOTV]2.0.CO;2</t>
  </si>
  <si>
    <t>WOS:000189380400005</t>
  </si>
  <si>
    <t>Llambí, LD; Fontaine, M; Rada, F; Saugier, B; Sarmiento, L</t>
  </si>
  <si>
    <t>Ecophysiology of dominant plant species during old-field succession in a high tropical Andean ecosystem</t>
  </si>
  <si>
    <t>ESPELETIA SCHULTZII WEDD; RELATIVE GROWTH-RATE; GIANT ROSETTE PLANT; VENEZUELAN ANDES; VASCULAR PLANTS; WATER-BALANCE; VEGETATION; ALPINE; ENVIRONMENTS; AGRICULTURE</t>
  </si>
  <si>
    <t>We compared ecophysiological characteristics of plant species that dominate during different stages of succession in fallow fields of a traditional agroecosystem in the Venezuelan High Andes. For each species we determined during the dry and wet seasons the photosynthetic light response and photosynthesis rate at tight saturation (A(max)), specific leaf area (SLA), stomatal conductance at light saturation (g(max)), midday water potential (psi), and intrinsic water use efficiency (WUEi, photosynthesis rate per unit of stomatal conductance). The species studied were the forbs Rumex acetosella (early succession dominant) and Lupinus meridanus (intermediate stages), the shrubs Acaena elongata and Baccharis prunifolia (late succession), the giant rosette Espeletia schultzii, and the shrub Hypericum laricifolium (mature ecosystem dominant). Clear ecophysiological trends were identified: early and intermediate successional species had higher A(max), g(max), and SLA but lower WUEi. E. schultzii maintained a high water potential during the dry season and, together with B. prunifolia, was the only species with no significant differences in A(max) between seasons. The results indicate that traits generally linked to fast growth (high A(max) and SLA) are associated with dominance during early succession, while traits linked with drought resistance (e.g., high WUEi and thick xeromorphic leaves) are associated with dominance during late succession in this tropical mountain environment.</t>
  </si>
  <si>
    <t>Univ York, Dept Biol, York YO10 5YW, N Yorkshire, England; Univ Paris 11, F-91405 Orsay, France; Univ Los Andes, Fac Ciencias, Inst Ciencias Ambientales &amp; Ecol, Merida 5101, Venezuela</t>
  </si>
  <si>
    <t>University of York - UK; Universite Paris Saclay; University of Los Andes Venezuela</t>
  </si>
  <si>
    <t>llambolk13@hotmail.com</t>
  </si>
  <si>
    <t>10.1657/1523-0430(2003)035[0447:EODPSD]2.0.CO;2</t>
  </si>
  <si>
    <t>WOS:000189380400006</t>
  </si>
  <si>
    <t>Nagaike, T</t>
  </si>
  <si>
    <t>Edge effects on stand structure and regeneration in a subalpine coniferous forest on Mt. Fuji, Japan, 30 years after road construction</t>
  </si>
  <si>
    <t>DOUGLAS-FIR FORESTS; OLD-GROWTH FOREST; GAP CHARACTERISTICS; VEGETATION RESPONSES; FRAGMENTED FORESTS; ABIES POPULATION; NORTHERN JAPAN; CENTRAL HONSHU; DYNAMICS; DISTURBANCE</t>
  </si>
  <si>
    <t>To evaluate edge effects in subalpine coniferous forest, I quantified stand structure characteristics in a plot that extended into the forest from a road that had been constructed approximately 30 yr previously on Mt. Fuji, in central Japan. The basal area of standing dead trees and the density of saplings in the plot were greater near the road. However, cluster analysis indicated that stand structure near the road edge was similar to that of gaps in the interior of the stand. Since edge effects may result from interactions among several variables, analyzing data sets that include several variables rather than a single variable is a promising approach for evaluating edge effects. In a multiple regression analysis, sapling densities of Tsuga diversifolia and Abies veitchii were strongly affected by the basal area of standing dead trees that had apparently died as a result of the construction. A. veitchii is more shade intolerant than the other two main species in the study plot, but it responds quickly to increased light availability. Although the plot is currently composed of T. diversifolia and A. mariesii, successful regeneration of A. veitchii may eventually change the species composition of this plot.</t>
  </si>
  <si>
    <t>Yamanashi Forest Res Inst, Yamanashi 4000502, Japan</t>
  </si>
  <si>
    <t>Yamanashi Forest Res Inst, Yamanashi 4000502, Japan.</t>
  </si>
  <si>
    <t>nagaike@pop2.odn.ne.jp</t>
  </si>
  <si>
    <t>Nagaike, Takuo/0000-0002-7630-5201</t>
  </si>
  <si>
    <t>10.1657/1523-0430(2003)035[0454:EEOSSA]2.0.CO;2</t>
  </si>
  <si>
    <t>WOS:000189380400007</t>
  </si>
  <si>
    <t>Edwards, ME; Hamilton, TD; Elias, SA; Bigelow, NH; Krumhardt, AP</t>
  </si>
  <si>
    <t>Interglacial extension of the boreal forest limit in the Noatak Valley, northwest Alaska: Evidence from an exhumed river-cut bluff and debris apron</t>
  </si>
  <si>
    <t>ARCTIC TREE LINE; CLIMATE-CHANGE; VEGETATION-RESPONSE; HISTORY; TUNDRA; QUEBEC; CANADA; BASIN; RECONSTRUCTION; ENVIRONMENTS</t>
  </si>
  <si>
    <t>Numerous exposures of Pleistocene sediments occur in the Noatak basin, which extends for 130 km along the Noatak River in northwestern Alaska. Nk-37, an extensive bluff exposure near the west end of the basin, contains a record of at least three glacial advances separated by interglacial and interstadial deposits. An ancient river-cut bluff and associated debris apron is exposed in profile through the central part of Nk-37. The debris apron contains a rich biotic record and represents part of an interglaciation that is probably assignable to marine-isotope stage 5. Pollen spectra from the lower part of the debris apron closely resemble modern samples taken from the Noatak floodplain in spruce gallery forest, and macrofossils of spruce are also present at this level. Fossil bark beetles and carpenter ants occur higher in the debris apron. Mutual Climatic Range (MCR) estimates from the fossil beetles suggest temperatures similar to or warmer than today. Together, these fossils indicate the presence of an interglacial spruce forest in the western part of the Noatak Basin, which lies about 80 km upstream of the modem limit of spruce forest.</t>
  </si>
  <si>
    <t>Univ Alaska, Inst Arctic Biol, Fairbanks, AK 99775 USA; US Geol Survey, Anchorage, AK 99508 USA; Univ Colorado, Inst Arctic &amp; Alpine Res, Boulder, CO 80309 USA; Univ Alaska, Alaska Quaternary Ctr, Fairbanks, AK 99775 USA; Univ Alaska, Dept Geol &amp; Geophys, Fairbanks, AK 99775 USA</t>
  </si>
  <si>
    <t>University of Alaska System; University of Alaska Fairbanks; United States Department of the Interior; United States Geological Survey; University of Colorado System; University of Colorado Boulder; University of Alaska System; University of Alaska Fairbanks; University of Alaska System; University of Alaska Fairbanks</t>
  </si>
  <si>
    <t>Edwards, ME (corresponding author), Univ Southampton, Sch Geog, Southampton SO17 1BJ, Hants, England.</t>
  </si>
  <si>
    <t>M.E.Edwards@soton.ac.uk</t>
  </si>
  <si>
    <t>Elias, Scott/ISB-2829-2023</t>
  </si>
  <si>
    <t>Elias, Scott/0000-0002-1498-1060; Bigelow, Nancy/0000-0001-5020-5002</t>
  </si>
  <si>
    <t>10.1657/1523-0430(2003)035[0460:IEOTBF]2.0.CO;2</t>
  </si>
  <si>
    <t>WOS:000189380400008</t>
  </si>
  <si>
    <t>Reese, CA; Liu, KB; Mountain, KR</t>
  </si>
  <si>
    <t>Pollen dispersal and deposition on the ice cap of volcan Parinacota, southwestern Bolivia</t>
  </si>
  <si>
    <t>EL-NINO; CLIMATE; STRATIGRAPHY; RECORDS; PRECIPITATION; ENVIRONMENT; ALTIPLANO; HUASCARAN; ISOTOPE; EVENTS</t>
  </si>
  <si>
    <t>Pollen, a regular component of tropical ice cores, has been shown to have great potential as a sensitive paleoenvironmental proxy in ice-core research. However, questions remain as to the modem dispersal and depositional patterns of pollen on high-alpine tropical ice caps. This information is vital to the accurate interpretation of the environmental reconstructions being derived from fossil pollen. In this study, I I surface snow samples were collected around the caldera rim at the summit of Mt. Parinacota along the Bolivian-Chilean border. Results show that pollen concentration and assemblage are uniform in samples taken from the southwestern quadrant and the entire eastern half of the mountain. However, the pollen signatures are significantly different in the northwestern quadrant, probably due to long-distance transport of xerophytic Compositae shrub pollen from the prevailing winds. The sections of the mountain not directly impacted by the prevailing northwesterlies reflect a more locally influenced pollen assemblage dominated by grasses. These results are consistent with previous findings from the Quelccaya Ice Cap and confirm the importance of the prevailing winds in the dispersal and deposition of pollen on these high-alpine tropical ice caps.</t>
  </si>
  <si>
    <t>Univ So Mississippi, Dept Geog, Hattiesburg, MS 39406 USA; Louisiana State Univ, Dept Geog &amp; Anthropol, Baton Rouge, LA 70803 USA; Univ Louisville, Dept Geog &amp; Geosci, Louisville, KY 40292 USA</t>
  </si>
  <si>
    <t>University of Southern Mississippi; Louisiana State University System; Louisiana State University; University of Louisville</t>
  </si>
  <si>
    <t>Univ So Mississippi, Dept Geog, Box 5051, Hattiesburg, MS 39406 USA.</t>
  </si>
  <si>
    <t>Carl.Reese@usm.edu</t>
  </si>
  <si>
    <t>Liu, Kam-Biu/B-4966-2012; Lu, houyuan/AAD-3100-2019</t>
  </si>
  <si>
    <t>Liu, Kam-Biu/0000-0002-0038-2198; Lu, houyuan/0000-0001-5721-6679</t>
  </si>
  <si>
    <t>10.1657/1523-0430(2003)035[0469:PDADOT]2.0.CO;2</t>
  </si>
  <si>
    <t>WOS:000189380400009</t>
  </si>
  <si>
    <t>Landl, B; Björnsson, H; Kuhn, M</t>
  </si>
  <si>
    <t>The energy balance of calved ice in Lake Jokulsarlon, Iceland</t>
  </si>
  <si>
    <t>VATNAJOKULL</t>
  </si>
  <si>
    <t>We describe energy fluxes involved in melting ice in the proglacial lake Jokulsarlon and the transport of thermal energy into the lake from the atmosphere and the sea. Data from earlier fieldwork and campaigns have been used to estimate the net radiation balance, the turbulent fluxes, the heat provided by inflowing seawater, and the glacial meltwater flux, From aerial photographs, DGPS measurements, and mass balance measurements, we calculated a calving flux of 260 x 10(6) m(3) yr(-1) for the present. The total energy required to melt all the ice in the lake is approximately 160 W m(-2) assuming that all the calved ice is melted during 1 yr. The most important contribution is heat from seawater. Radiation provides approximately 70 W m(-2). The albedo depends on the ice-covered fraction of the lake and ranges from 22% in summer to 41% in winter. The turbulent fluxes are around 10 W m(-2). Difficulties occurred in finding an appropriate range for the roughness parameter z(o), but the most likely values are in the range of a few centimeters. We considered different future scenarios with respect to inflow of seawater and air temperature, albedo, and even inhibition of seawater intrusion, which would have a significant impact on ice cover in the lake.</t>
  </si>
  <si>
    <t>Univ Innsbruck, Dept Meteorol &amp; Geophys, A-6020 Innsbruck, Austria; Univ Iceland, Inst Sci, IS-107 Reykjavik, Iceland</t>
  </si>
  <si>
    <t>University of Innsbruck; University of Iceland</t>
  </si>
  <si>
    <t>Landl, B (corresponding author), Univ Innsbruck, Dept Meteorol &amp; Geophys, Innrain 52, A-6020 Innsbruck, Austria.</t>
  </si>
  <si>
    <t>landl@slf.ch</t>
  </si>
  <si>
    <t>10.1657/1523-0430(2003)035[0475:TEBOCI]2.0.CO;2</t>
  </si>
  <si>
    <t>WOS:000189380400010</t>
  </si>
  <si>
    <t>Cogley, JG; McIntyre, MS</t>
  </si>
  <si>
    <t>Hess altitudes and other morphological estimators of glacier equilibrium lines</t>
  </si>
  <si>
    <t>The Hess altitude h on a valley glacier is the altitude of that contour that is most nearly straight. The Kurowsky altitude k is the average of the glacier's minimum and maximum elevations. The glaciation level g of a glacierized region is the average of the elevations of the lowest glacierized and the highest unglacierized summits. We study the relationships between these morphological variables in well-mapped areas in Axel Heiberg Island, Nunavut, and in northern British Columbia, and also in a set of more widely distributed glaciers with well-known equilibrium-line altitudes e. We confirm that the relationships are strong, although their dispersion is considerable both for single glaciers and at the regional scale. On average h is 130 in below the long-term mean equilibrium line, k is slightly below it, and g is 200 m above it. There is very little morphoclimatic information in h that is not also conveyed by k, and since the latter is faster to measure and is already tabulated for tens of thousands of glaciers, its use is preferable. The glaciation level is less concordant. We suggest that it records interactions between landscape and climate on a somewhat slower time scale. The linear dependences of h on k and g, and of e on each of the 3 morphological estimators, have slopes slightly but significantly less than 1. This result is not yet understood.</t>
  </si>
  <si>
    <t>Trent Univ, Dept Geog, Peterborough, ON K9J 7B8, Canada</t>
  </si>
  <si>
    <t>Trent University</t>
  </si>
  <si>
    <t>Trent Univ, Dept Geog, Peterborough, ON K9J 7B8, Canada.</t>
  </si>
  <si>
    <t>gcogley@trentu.ca</t>
  </si>
  <si>
    <t>WOS:000189380400011</t>
  </si>
  <si>
    <t>Munroe, JS</t>
  </si>
  <si>
    <t>Estimates of Little Ice Age climate inferred through historical rephotography, northern Uinta Mountains, USA</t>
  </si>
  <si>
    <t>GLACIER-NATIONAL-PARK; SOUTHERN ROCKY-MOUNTAINS; NORTHEASTERN UTAH; COLORADO PLATEAU; TREE INVASION; HOLOCENE; TIMBERLINE; VEGETATION; MONTANA; PALEOCLIMATE</t>
  </si>
  <si>
    <t>I replicated and analyzed six photographs taken in A.D. 1870 near the subalpine forest-alpine tundra ecotone in the northern Uinta Mountains to quantify changes in the distribution of vegetation. Three dramatic differences were noted. First, the historical photographs document a treeline 60 to 180 m (mean of similar to 100 m) lower than at present, with greater depression on west-facing slopes. Given the modem lapse rate for mean July temperature (6.9degreesC km(-1)), this difference corresponds to a temperature depression in A.D. 1870 of 0.4 to 1.2degreesC (mean of 0.7degreesC). Second, timberline forests in A.D. 1870 were significantly (P &lt; 0.01) less dense, with tree densities approximately half those measured in the modern photographs. Third, the area of floodplain meadows decreased ∼75% from A.D. 1870 to the present. Because the original photographs were taken within a few decades of the end of the Little Ice Age, ca. A.D. 1850, 1 assumed that differences in vegetation distribution documented in the repeat photographs represent the biotic response to climate warming over the past ∼ 130 yr. This analysis provides an independent estimate of the magnitude of growing season temperature depression during the Little Ice Age.</t>
  </si>
  <si>
    <t>Middlebury Coll, Dept Geol, Middlebury, VT 05753 USA</t>
  </si>
  <si>
    <t>Munroe, JS (corresponding author), Middlebury Coll, Dept Geol, Middlebury, VT 05753 USA.</t>
  </si>
  <si>
    <t>jmunroe@middlebury.edu</t>
  </si>
  <si>
    <t>10.1657/1523-0430(2003)035[0489:EOLIAC]2.0.CO;2</t>
  </si>
  <si>
    <t>WOS:000189380400012</t>
  </si>
  <si>
    <t>Lafrancois, BM; Nydick, KR; Caruso, B</t>
  </si>
  <si>
    <t>Influence of nitrogen on phytoplankton biomass and community composition in fifteen Snowy Range lakes (Wyoming, USA)</t>
  </si>
  <si>
    <t>WATER CHEMISTRY; NUTRIENT LIMITATION; SIERRA-NEVADA; CELL-VOLUME; ENRICHMENT; DEPOSITION; RESPONSES; PHOSPHORUS; SATURATION; DIATOMS</t>
  </si>
  <si>
    <t>Nitrogen (N) deposition has been implicated in changes in surface water chemistry and algal composition in several dilute mountain lakes of the western United States. Lakes of the Snowy Range (Medicine Bow National Forest, Wyoming) appear to have low nitrate concentrations currently, and 2 Snowy Range lakes showed strong eutrophication responses to N or N + phosphorus (P) additions in previous enclosure experiments. In this study, we explored the regional extent of phytoplankton N limitation by examining a nutrient ratio index (dissolved inorganic nitrogen:total phosphorus) and phytoplankton species-environment relationships across 15 Snowy Range lakes. Based on this index, we estimate that phytoplankton biomass in the study lakes is largely N limited or N + P colimited. In addition, redundancy analysis demonstrated strong relationships between phytoplankton species composition and N gradients, with chrysophyte taxa favored in low-N lakes and cyanophytes and chlorophytes favored in higher-N lakes. We conclude that both phytoplankton biomass and community structure are sensitive indicators of N gradients in lakes of the Snowy Range, and that eutrophication responses to future increases in N loading could be widespread in these and other low-N lakes.</t>
  </si>
  <si>
    <t>Colorado State Univ, Dept Fishery &amp; Wildlife Biol, Ft Collins, CO 80523 USA; Colorado State Univ, Nat Resource Ecol Lab, Ft Collins, CO 80523 USA; Wesleyan Univ, Sci &amp; Soc Program, Middletown, CT 06459 USA</t>
  </si>
  <si>
    <t>Colorado State University; Colorado State University; Wesleyan University</t>
  </si>
  <si>
    <t>St Croix Watershed Res Stn, 16910 152nd St N, Marine St Croix, MN 55047 USA.</t>
  </si>
  <si>
    <t>brenda_moraska_lafrancois@nps.gov</t>
  </si>
  <si>
    <t>WOS:000189380400013</t>
  </si>
  <si>
    <t>Lim, DSS; Douglas, MSV</t>
  </si>
  <si>
    <t>Limnological characteristics of 22 lakes and ponds in the Haughton Crater region of Devon Island, Nunavut, Canadian High Arctic</t>
  </si>
  <si>
    <t>CHEMICAL LIMNOLOGY; NORTHWEST-TERRITORIES; IMPACT STRUCTURE; GLOBAL CHANGE; NWT; TEMPERATURE; VEGETATION; WATERS</t>
  </si>
  <si>
    <t>The physical and chemical limnological characteristics of 22 lakes and ponds in the remote region of Haughton Impact Crater, Devon Island, Nunavut, Canada, were explored. Our overall goals were to gather baseline information for use in climate and environmental change monitoring programs in the High Arctic as well as to compare these observations to other limnological surveys conducted in high-latitude regions. Study sites were alkaline (pH(mean) = 8.3), ultraoligotrophic (TPUmean = 3.7 mug L-1), and phosphorus limited. Major and minor ionic concentrations of most sites are comparable to other previously surveyed high arctic sites. Lakes and ponds in close contact with the impact-generated carbonate melt rocks associated with Haughton Crater were distinguished from the larger data set due to their elevated Mg2+, SO42-, Ba2+, Sr2+, and SiO2 concentrations. Selenite (CaSO4.2H(2)O) formations commonly associated with the lower levels of the carbonate melt sheets were identified as a likely source for the elevated SO42- concentrations in these sites. Principal Components Analysis separated sites along a conductivity and nutrient gradient on the primary and secondary axes, respectively. This study serves as a baseline for a long-term monitoring program in the Haughton Crater region.</t>
  </si>
  <si>
    <t>Univ Toronto, Dept Geol, Paleoenvironm Assessment Lab, Toronto, ON M5S 3B1, Canada</t>
  </si>
  <si>
    <t>University of Toronto</t>
  </si>
  <si>
    <t>Univ Toronto, Dept Geol, Paleoenvironm Assessment Lab, 22 Russell St,Earth Sci Bldg, Toronto, ON M5S 3B1, Canada.</t>
  </si>
  <si>
    <t>lim@geology.utoronto.ca; msvd@geology.utoronto.ca</t>
  </si>
  <si>
    <t>10.1657/1523-0430(2003)035[0509:LCOLAP]2.0.CO;2</t>
  </si>
  <si>
    <t>WOS:000189380400014</t>
  </si>
  <si>
    <t>Mazzucchi, D; Spooner, IS; Gilbert, R; Osborn, G</t>
  </si>
  <si>
    <t>Reconstruction of Holocene climate change using multiproxy analysis of sediments from Pyramid Lake, British Columbia, Canada</t>
  </si>
  <si>
    <t>QUATERNARY VEGETATION HISTORY; CONTORTA SSP LATIFOLIA; ENVIRONMENTAL-CHANGE; FORTRAN-77 PROGRAM; NATIONAL-PARK; FIRE HISTORY; WHITE-PASS; RECORD; AREA; POLLEN</t>
  </si>
  <si>
    <t>Sediment cores from Pyramid Lake, an alpine tarn in the Cassiar Mountains of northwestern British Columbia, were investigated for changes in pollen, plant macrofossils, charcoal, and elastic sediment, which are used to infer changes in climate throughout the Holocene. Radiometric dating has yielded a chronology of high-magnitude rainstorm events and timberline migration for the Pyramid Lake basin since deglaciation at about 10600 B.P. Fifteen distinct minerogenic layers represent material delivered to the lake by runoff events. The frequency of minerogenic layer deposition, and by analogy of storms, has changed throughout the Holocene. Four large-magnitude rainstorm events occurred between 4400 and 5100 B.P. During this period white spruce (Picea cf. glauca) was likely present near the lake, although a closed forest stand did not develop around the lake at any point during the Holocene. The macrofossil record indicates that subalpine fir (Abies lasiocarpa) has been present, likely as krummholz, above the elevation of the lake since at least 9400 B.P. Pollen of western hemlock (Tsuga heterophylla) is represented from ca. 1500 B.P. to the present and may be a consequence of changes in regional airmass circulation patterns.</t>
  </si>
  <si>
    <t>Middlebury Coll, Dept Geog, Middlebury, VT 05753 USA; Middlebury Coll, Dept Geol, Middlebury, VT 05753 USA; Acadia Univ, Dept Geol, Wolfville, NS B0P 1X0, Canada; Queens Univ, Dept Geog, Kingston, ON K7L 3N6, Canada; Univ Calgary, Dept Geol &amp; Geophys, Calgary, AB T2N 1N4, Canada</t>
  </si>
  <si>
    <t>Acadia University; Queens University - Canada; University of Calgary</t>
  </si>
  <si>
    <t>Mazzucchi, D (corresponding author), Middlebury Coll, Dept Geog, Middlebury, VT 05753 USA.</t>
  </si>
  <si>
    <t>david.mazzucchi@middlebury.edu</t>
  </si>
  <si>
    <t>10.1657/1523-0430(2003)035[0520:ROHCCU]2.0.CO;2</t>
  </si>
  <si>
    <t>WOS:000189380400015</t>
  </si>
  <si>
    <t>Rawlins, MA; Willmott, CJ</t>
  </si>
  <si>
    <t>Winter air temperature change over the terrestrial Arctic, 1961-1990</t>
  </si>
  <si>
    <t>CLIMATE-CHANGE; PRECIPITATION; EXTREMES; PERIOD; TRENDS; RIVER; OCEAN; USA; CO2</t>
  </si>
  <si>
    <t>We evaluate two approaches to spatially interpolating winter surface air-temperature fields over the terrestrial Arctic from available weather-station records. We then examine 30 yr (1961-1990) of winter air-temperature change over the terrestrial Arctic through a time-trend analysis of interpolated winter air-temperature fields. We used monthly average air temperatures from 4984 Arctic station records that were available for the period 1961-1990. The two spatial interpolation procedures employed were traditional interpolation and a method that makes use of spatially high-resolution digital-elevation information, called DEM-assisted (DAI). The Arctic average winter air temperature obtained from the traditionally interpolated 1961-1990 climatology is over 9degreesC colder than the mean winter station temperature, illustrating the considerable warm bias in Arctic weather station locations. The DAI-based average is 1degreesC colder, further emphasizing the importance of spatial interpolation prior to spatial averaging. Over the 30 yr, increases in winter air temperature appear across western Canada and in parts of central Asia, with decreasing trends apparent over eastern Canada. Much of the Arctic exhibits no clear trend, with low explained variances. In western Canada, however, warming trends are on the order of 0.1 to 0.4degrees yr(-1) when the fields analyzed were traditionally interpolated or interpolated using DAI. Explained variances (r(2)s) are higher where trends are largest: approximately 0.2 to 0.4 in western Canada and slightly higher (albeit spuriously) it) an isolated area of central Asia. Over the entire terrestrial Arctic, mean winter air temperature has increased at a rate of about 0.05degreesC yr(-1) based on traditional interpolation and DAI.</t>
  </si>
  <si>
    <t>Univ New Hampshire, Inst Study Earth Oceans &amp; Space, Water Syst Anal Grp, Durham, NH 03824 USA; Univ Delaware, Dept Geog, Ctr Climat Res, Newark, DE 19716 USA</t>
  </si>
  <si>
    <t>University System Of New Hampshire; University of New Hampshire; University of Delaware</t>
  </si>
  <si>
    <t>Rawlins, MA (corresponding author), Univ New Hampshire, Inst Study Earth Oceans &amp; Space, Water Syst Anal Grp, Durham, NH 03824 USA.</t>
  </si>
  <si>
    <t>michael.rawlins@unh.edu; willmott@udel.edu</t>
  </si>
  <si>
    <t>10.1657/1523-0430(2003)035[0530:WATCOT]2.0.CO;2</t>
  </si>
  <si>
    <t>WOS:000189380400016</t>
  </si>
  <si>
    <t>Zielke, M; Ekker, AS; Olsen, RA; Spjelkavik, S; Solheim, B</t>
  </si>
  <si>
    <t>The influence of abiotic factors on biological nitrogen fixation in different types of vegetation in the High Arctic, Svalbard (vol 34, pg 295, 2002)</t>
  </si>
  <si>
    <t>WOS:000189380400017</t>
  </si>
  <si>
    <t>Cooper, EJ; Wookey, PA</t>
  </si>
  <si>
    <t>Floral herbivory of Dryas octopetala by Svalbard reindeer (vol 35, pg 373, 2003)</t>
  </si>
  <si>
    <t>Wookey, Philip/J-4786-2012; Wookey, Philip/AAA-6271-2020</t>
  </si>
  <si>
    <t>Wookey, Philip/0000-0001-5957-6424</t>
  </si>
  <si>
    <t>WOS:000189380400018</t>
  </si>
  <si>
    <t>Shnoll, SE; Rubinstein, IA; Zenchenko, KI; Zenchenko, TA; Udaltsova, NV; Konradov, AA; Shapovalov, SN; Makarevich, AV; Gorshkov, ES; Troshichev, OA</t>
  </si>
  <si>
    <t>Dependence of ⟪macroscopic fluctuations⟫ on geographic coordinates (by materials of Arctic and Antarctic expeditions)</t>
  </si>
  <si>
    <t>BIOFIZIKA</t>
  </si>
  <si>
    <t>macroscopic fluctuations; geographic coordinates</t>
  </si>
  <si>
    <t>DISTRIBUTIONS</t>
  </si>
  <si>
    <t>The detailed structure of histograms constructed from the results of synchronous measurements of the alpha-activity of Pu-239 microsamples, conducted in Pushchino (Moscow Region, Russia) and on board the ship Academician Fedorov during the Arctic and Antarctic expeditions (2000 and 2001) was analyzed. It was shown that, if the histograms were constructed over a total period of 15 min and more, the local zone effect and the circadian periodicity in the similarity of histogram structure, observed during measurements in Pushchino, are not found in measurements on board the ship near the North Pole (latitude 82degrees). If the histograms were constructed over a total time of 1 min, a strict periodicity (stellar day 23 h 56 min) in the appearance of similar histograms in Pushchino and the Arctic and a strict synchronicity of the appearance of similar histograms of measurements in Pushchino and on board the ship at the same local geographical time were observed. During the Antarctic expedition, the effect of synchronicity of the appearance of similar histograms in Pushchino and on board the ship decreased as the ship moved towards the South Pole and the difference in lattitude between the points of measurements increased.</t>
  </si>
  <si>
    <t>Moscow MV Lomonosov State Univ, Dept Phys, Moscow 119992, Russia; Moscow MV Lomonosov State Univ, Inst Nucl Phys, Moscow 119992, Russia; Russian Acad Sci, Inst Theoret &amp; Expt Biophys, Pushchino 142290, Russia; Russian Acad Sci, Emanuel Inst Biochem Phys, Moscow 117977, Russia; Arctic &amp; Antarctic Res Inst, St Petersburg 199397, Russia</t>
  </si>
  <si>
    <t>Lomonosov Moscow State University; Lomonosov Moscow State University; National Research Centre - Kurchatov Institute; Institute of High Energy Physics - IHEP; Russian Academy of Sciences; Pushchino Scientific Center for Biological Research (PSCBI) of the Russian Academy of Sciences; Institute of Theoretical &amp; Experimental Biophysics; Russian Academy of Sciences; Emanuel Institute of Biochemical Physics; Arctic &amp; Antarctic Research Institute</t>
  </si>
  <si>
    <t>Shnoll, SE (corresponding author), Moscow MV Lomonosov State Univ, Dept Phys, Vorobevy Gory, Moscow 119992, Russia.</t>
  </si>
  <si>
    <t>shnoll@iteb.ru</t>
  </si>
  <si>
    <t>Makarevich, Alexander/HMV-5589-2023; Zenchenko, Tatiana/T-1873-2017</t>
  </si>
  <si>
    <t>Zenchenko, Tatiana/0000-0002-0520-2029</t>
  </si>
  <si>
    <t>MEZHDUNARODNAYA KNIGA</t>
  </si>
  <si>
    <t>39 DIMITROVA UL., MOSCOW, 113095, RUSSIA</t>
  </si>
  <si>
    <t>0006-3029</t>
  </si>
  <si>
    <t>0006-3509</t>
  </si>
  <si>
    <t>BIOFIZIKA+</t>
  </si>
  <si>
    <t>Biofizika</t>
  </si>
  <si>
    <t>NOV-DEC</t>
  </si>
  <si>
    <t>Biophysics</t>
  </si>
  <si>
    <t>758YG</t>
  </si>
  <si>
    <t>WOS:000187679300018</t>
  </si>
  <si>
    <t>Lalas, C; Bradshaw, CJA</t>
  </si>
  <si>
    <t>Expectations for population growth at new breeding locations for the vulnerable New Zealand sea lion (Phocarctos hookeri) using a simulation model</t>
  </si>
  <si>
    <t>BIOLOGICAL CONSERVATION</t>
  </si>
  <si>
    <t>New Zealand sea lions; Phocarctos hookeri; colonisation; establishment; Leslie matrix model; survival; maximum lifespan; population management plan</t>
  </si>
  <si>
    <t>FUR SEALS; SITE FIDELITY; CONSERVATION; REINTRODUCTION; RECOVERY; PHILOPATRY; ABUNDANCE; DYNAMICS; COLONIES; SURVIVAL</t>
  </si>
  <si>
    <t>Management plans for threatened or recovering large vertebrate species that are increasing in population size and range focus on the establishment of viable populations within set temporal limits. New Zealand (Hookers) sea lions (Phocarctos hookeri) were declared a threatened species in 1997, and New Zealand legislation requires that threatened species of marine mammals must be managed to reduce human-induced mortality and achieve a non-threatened status within 20 years. The present breeding distribution of P. hookeri is highly localised, with over 95% of total annual pup production located at Auckland Islands and almost all of the remainder at Campbell Island. Breeding elsewhere has been ephemeral or restricted to &lt; 10 adult females. The only recorded sustainable breeding at a new location has been at Otago, South Island, New Zealand. This breeding population consisted of a total of four breeding females in 2002 and is derived from one immigrant female that gave birth to her first pup in the 1993/1994 breeding season. The New Zealand Department of Conservation management plan specifies that to achieve a non-threatened status P. hookeri (1) at Otago must increase in the number of breeding females to greater than or equal to 10, and (2) must establish greater than or equal to two new breeding locations within the 20-year time frame, each with greater than or equal to 10 breeding females. This study 1) projects the population growth trends at a new location (Otago) to see if it will achieve greater than or equal to 10 breeding females within the legislated time frame, and (2) examines the likelihood that other breeding locations will establish elsewhere given the demographic information available for this species. We present 20 deterministic and three stochastic Leslie matrix model scenarios for female population growth for the initial years following the start of breeding at a new location. Our results indicate that (1) a new breeding population derived from one immigrant female is unlikely to reach 10 breeding females in 20 years; this duration is more likely to be 23-41 years (deterministic models) or 23-26 years (stochastic model), (2) the likelihood of two new sites establishing within 20 years is unquantifiable, but the probability is low, and (3) if the legislated outcome and time limit are not revised in the population management plan, the feasibility and effectiveness of re-locating young females could be investigated. (C) 2003 Elsevier Ltd. All rights reserved.</t>
  </si>
  <si>
    <t>Univ Tasmania, Antarctic Wildlife Res Unit, Sch Zool, Hobart, Tas 7001, Australia</t>
  </si>
  <si>
    <t>Univ Tasmania, Antarctic Wildlife Res Unit, Sch Zool, GPO Box 252-05, Hobart, Tas 7001, Australia.</t>
  </si>
  <si>
    <t>Bradshaw, Corey J. A./A-1311-2008</t>
  </si>
  <si>
    <t>Bradshaw, Corey J. A./0000-0002-5328-7741</t>
  </si>
  <si>
    <t>0006-3207</t>
  </si>
  <si>
    <t>1873-2917</t>
  </si>
  <si>
    <t>BIOL CONSERV</t>
  </si>
  <si>
    <t>Biol. Conserv.</t>
  </si>
  <si>
    <t>10.1016/S0006-3207(02)00421-4</t>
  </si>
  <si>
    <t>715NE</t>
  </si>
  <si>
    <t>WOS:000184978000006</t>
  </si>
  <si>
    <t>Powers, JG; Monaghan, AJ; Cayette, AM; Bromwich, DH; Kuo, YH; Manning, KW</t>
  </si>
  <si>
    <t>Real-time mesoscale modeling over Antarctica The Antarctic Mesoscale Prediction System</t>
  </si>
  <si>
    <t>POLAR MM5 SIMULATIONS; ROSS SEA; GREENLAND; WINDS</t>
  </si>
  <si>
    <t>In support of the United States Antarctic Program (USAP), the -National Center for Atmospheric Research and the Byrd Polar Research Center of The Ohio State University have created the Antarctic MesosCale Prediction System (AMPS): an experimental, real-time mesoscale modeling system covering Antarctica. AMPS has been designed to serve flight forecasters at McMurdo Station, to support science and operations around the continent, and to be a vehicle for the development of physical parameterizations suitable for polar regions. Since 2000, AMPS has been producing high-resolution forecasts (grids to 3.3 km) with the Polar MM5, a version of the fifth-generation Pennsylvania State University-NCAR Mesoscale. Model tuned for the polar atmosphere. Beyond its basic mission of serving the USAP flight forecasters at McMurdo, AMPS has assisted both in emergency operations to save lives and in programs to-explore the extreme polar environment. The former have included a medical evacuation from the South Pole and a marine rescue from the continental margin. The latter have included scientific field campaigns and the daily activities of international Antarctic forecasters and researchers. The AMPS program has been a success in terms of advancing polar mesoscale NWP, serving critical logistical operations of the USAP, and, most visibly, assisting in emergency rescue missions to save lives. The history and performance of AMPS are described and the successes of this unique real-time mesoscale modeling system in crisis support are detailed.</t>
  </si>
  <si>
    <t>Natl Ctr Atmospher Res, MMM Div, Boulder, CO 80307 USA; Ohio State Univ, Byrd Polar Res Ctr, Columbus, OH 43210 USA; Space &amp; Naval Warfare Syst Ctr, Charleston, SC USA</t>
  </si>
  <si>
    <t>National Center Atmospheric Research (NCAR) - USA; University System of Ohio; Ohio State University; Naval Information Warfare Center Pacific</t>
  </si>
  <si>
    <t>Natl Ctr Atmospher Res, MMM Div, POB 3000, Boulder, CO 80307 USA.</t>
  </si>
  <si>
    <t>powers@ncar.ucar.edu</t>
  </si>
  <si>
    <t>10.1175/BAMS-84-11-1533</t>
  </si>
  <si>
    <t>752MD</t>
  </si>
  <si>
    <t>WOS:000187163900018</t>
  </si>
  <si>
    <t>Cornick, LA; Horning, M</t>
  </si>
  <si>
    <t>A test of hypotheses based on optimal foraging considerations for a diving mammal using a novel experimental approach</t>
  </si>
  <si>
    <t>CANADIAN JOURNAL OF ZOOLOGY</t>
  </si>
  <si>
    <t>ANTARCTIC FUR SEALS; OPTIMAL ALLOCATION; WEDDELL SEALS; DIVE CYCLE; TIME; BEHAVIOR; DETERMINANTS; FEMALE; DEPTH; FIELD</t>
  </si>
  <si>
    <t>The response of marine predators to changes in fine-scale prey distribution is poorly understood. Precipitous declines in marine apex predators necessitate a better understanding of the magnitude of fluctuations in prey availability that are within the compensatory behavioural plasticity of predators. We experimentally manipulated the fine-scale prey field for a marine carnivore in a controlled, captive setting and examined changes in behaviour and efficiency with changes in prey encounter rate. We hypothesized (i) a minimum prey encounter rate below which the cost of foraging always exceeds the benefit, (ii) foraging effort should increase with increasing prey encounter rates, and (iii) a maximum threshold prey encounter rate at which foraging efficiency is optimized. Dive duration, foraging time, and dive and foraging efficiency increased significantly with increasing prey encounter rate up to an asymptote of similar to13 fish per dive cycle, supporting two of the three hypotheses. The results also support predicted responses to changing prey encounter rates derived from an optimal foraging model for diving animals and are the first experimental validation of optimal foraging model predictions in a marine mammal. We believe that these results provide new insight and suggest new experimental techniques for examining the foraging ecology of large marine predators.</t>
  </si>
  <si>
    <t>Texas A&amp;M Univ, Lab Appl Biotelemetry &amp; Biotechnol, Galveston, TX 77551 USA</t>
  </si>
  <si>
    <t>Texas A&amp;M University System</t>
  </si>
  <si>
    <t>Connecticut Coll 5348, Dept Biol, 270 Mohegan Ave, New London, CT 06320 USA.</t>
  </si>
  <si>
    <t>lacor@conncoll.edu</t>
  </si>
  <si>
    <t>Horning, Markus/I-3019-2015</t>
  </si>
  <si>
    <t>Horning, Markus/0000-0001-6178-4935</t>
  </si>
  <si>
    <t>0008-4301</t>
  </si>
  <si>
    <t>1480-3283</t>
  </si>
  <si>
    <t>CAN J ZOOL</t>
  </si>
  <si>
    <t>Can. J. Zool.</t>
  </si>
  <si>
    <t>10.1139/Z03-179</t>
  </si>
  <si>
    <t>770KQ</t>
  </si>
  <si>
    <t>WOS:000188730300003</t>
  </si>
  <si>
    <t>Weber, K; Goerke, H</t>
  </si>
  <si>
    <t>Persistent organic pollutants (POPs) in antarctic fish: levels, patterns, changes</t>
  </si>
  <si>
    <t>PCB; organochlorine; long-range transport; temporal trend; bioaccumulation; biomagnification; bioconcentration</t>
  </si>
  <si>
    <t>MARINE FOOD-CHAINS; ORGANOCHLORINE CONTAMINANTS; TEMPORAL TRENDS; GEOGRAPHICAL-DISTRIBUTION; GLOBAL DISTRIBUTION; DEMERSAL FISH; LAKE TROUT; IDENTIFICATION; PESTICIDES; ATMOSPHERE</t>
  </si>
  <si>
    <t>Organochlorine compounds were analysed in three fish species of different feeding types from the area of Elephant Island in the Antarctic. In 1996, hexachlorobenzene (HCB) (means: 15-20 ng/g lipid), p,p'-DDE (5-13 ng/g lipid) and mirex (1-7 ng/g lipid) predominated, while PCBs were minor components (PCB 153: 0.4-2 ng/g lipid). Concentration patterns were species-dependent: PCB 180, PCB 153, mirex, nonachlor III, trans-nonachlor and the toxaphene compound B8-1413 were highest in the bottom invertebrate feeder Gobionotothen gibberifrons and lowest in the krill feeder Champsocephalus gunnari. Levels of p,p'-DDE, PCB 138 and heptachloro-1'-methyl-1,2'-bipyrrole (Q1), a natural bioaccumulative product, were highest in the fish feeder Chaenocephalus aceratus, whereas HCB was present in about equal concentrations in all species. Most compounds were taken up preferentially via the benthic food chain, the chlorinated bipyrrole via the pelagic food chain and HCB from the water. In antarctic fish, biomagnification was generally more important than bioconcentration. Between 1987 and 1996, most persistent organic pollutant (POP) levels showed significant increases in the benthos feeder and the fish feeder, while they remained nearly constant or increased less in the krill feeder. Hence, the former species represent indicator species for changing POP levels in Antarctica. Ratios (1996/1987) of average concentrations in G. gibberifrons were: PCB 138 0.7, HCB 0.8, 138-1413 1.5, PCB 180 1.7, PCB 153 1.8, p,p'-DDE 2.0, nonachlor III 2.9, trans-nonachlor 3.3, mirex 6.7. By comparison with trends in the northern hemisphere it is concluded that global distribution of HCB is close to equilibrium. Changing levels of other POPs reflect global redistribution and increasing transfer to antarctic waters probably due to recent usage in the southern hemisphere and climate changes. (C) 2003 Elsevier Ltd. All rights reserved.</t>
  </si>
  <si>
    <t>Alfred Wegener Inst Polar &amp; Marine Res, Am Handelshafen 12, D-27515 Bremerhaven, Germany.</t>
  </si>
  <si>
    <t>kweber@awi-bremerhaven.de</t>
  </si>
  <si>
    <t>1879-1298</t>
  </si>
  <si>
    <t>10.1016/S0045-6535(03)00551-4</t>
  </si>
  <si>
    <t>725DK</t>
  </si>
  <si>
    <t>WOS:000185528000009</t>
  </si>
  <si>
    <t>Brown, JL</t>
  </si>
  <si>
    <t>Yacht design inspires fiber composite antarctic building</t>
  </si>
  <si>
    <t>CIVIL ENGINEERING</t>
  </si>
  <si>
    <t>ASCE-AMER SOC CIVIL ENGINEERS</t>
  </si>
  <si>
    <t>RESTON</t>
  </si>
  <si>
    <t>1801 ALEXANDER BELL DR, RESTON, VA 20191-4400 USA</t>
  </si>
  <si>
    <t>0885-7024</t>
  </si>
  <si>
    <t>CIVIL ENG</t>
  </si>
  <si>
    <t>Civil Eng.</t>
  </si>
  <si>
    <t>Engineering, Civil</t>
  </si>
  <si>
    <t>754PV</t>
  </si>
  <si>
    <t>WOS:000187327200011</t>
  </si>
  <si>
    <t>Tarrant, AM; Blomquist, CH; Lima, PH; Atkinson, MJ; Atkinson, S</t>
  </si>
  <si>
    <t>Metabolism of estrogens and androgens by scleractinian corals</t>
  </si>
  <si>
    <t>androgen; coral; dehydrogenase; estrogen; invertebrate; metabolism; scleractinia; steroid</t>
  </si>
  <si>
    <t>STAR ASTERIAS-RUBENS; ANTARCTIC SOFT CORALS; STEROID-METABOLISM; 17-BETA-HYDROXYSTEROID DEHYDROGENASE; ESTRADIOL-17-BETA; BIOSYNTHESIS; AROMATASE; INVITRO; TISSUES; MARINE</t>
  </si>
  <si>
    <t>Estrogens and androgens are steroids that act as reproductive hormones in vertebrates. These compounds have also been detected in reef-building corals and other invertebrates, where they are hypothesized to act as bioregulatory molecules. Experiments were conducted using labeled steroid substrates to evaluate metabolism of estrogens and androgens by coral homogenates. GC-MS analysis of C-13-labeled steroids showed that Montipora capitata coral homogenates or fragments could convert estradiol to estrone and testosterone to androstenedione and androstanedione, evidence that M. capitata contains 17beta-hydroxysteroid dehydrogenase and 5alpha-reductase. When homogenates from three coral species and symbiotic dinoflagellates (zooxanthellae) were incubated with tritiated steroid substrates, metabolites separated by thin-layer chromatography confirmed that 17beta-hydroxy steroid dehydrogenase activity occurred in all species tested. NADP(+) was the preferred cofactor in dehydrogenation reactions with coral homogenates. Reduction of estrone and androstenedione occurred at lower rates and aromatization of androgens was not observed. It is unclear whether estrogens detected previously in coral tissues are produced endogenously or sequestered in coral tissue from dietary or environmental sources. Previous studies have demonstrated that corals can take up estrogens from the water column overlying coral reefs. Considered in total, these observations suggest corals could alter the concentration or form of steroids available to reef organisms. (C) 2003 Elsevier Inc. All rights reserved.</t>
  </si>
  <si>
    <t>Univ Hawaii Manoa, Dept Oceanog, Honolulu, HI 96822 USA; HealthPartners Reg Hosp, Dept Obstet &amp; Gynecol, St Paul, MN USA; Univ Minnesota, Sch Med, Dept Obstet &amp; Gynecol, Minneapolis, MN 55455 USA; Univ Hawaii Manoa, Hawaii Inst Marine Biol, Kaneohe, HI USA; Univ Alaska Fairbanks, Alaska SeaLife Ctr, Seward, AK USA</t>
  </si>
  <si>
    <t>University of Hawaii System; University of Hawaii Manoa; University of Minnesota System; University of Minnesota Twin Cities; University of Hawaii System; University of Hawaii Manoa; University of Alaska System; University of Alaska Fairbanks</t>
  </si>
  <si>
    <t>Woods Hole Oceanog Inst, Dept Biol, MS-32, Woods Hole, MA 02543 USA.</t>
  </si>
  <si>
    <t>atarrant@whoi.edu</t>
  </si>
  <si>
    <t>Tarrant, Ann/AAU-8263-2021; Bast, Robert C/E-6585-2011</t>
  </si>
  <si>
    <t>Tarrant, Ann/0000-0002-1909-7899; Bast, Robert C/0000-0003-4621-8462</t>
  </si>
  <si>
    <t>10.1016/S1096-4959(03)00253-7</t>
  </si>
  <si>
    <t>742EQ</t>
  </si>
  <si>
    <t>WOS:000186504100009</t>
  </si>
  <si>
    <t>Tanaka, T; Yan, LM; Burgess, JG</t>
  </si>
  <si>
    <t>Microbulbifer arenaceous sp nov., a new endolithic bacterium isolated from the inside of red sandstone</t>
  </si>
  <si>
    <t>CURRENT MICROBIOLOGY</t>
  </si>
  <si>
    <t>ANTARCTIC COLD DESERT; MARINE-BACTERIA; NATURAL-PRODUCTS; ALIGNMENT; SEQUENCE</t>
  </si>
  <si>
    <t>An endolithic bacterium, strain RSBr-1, was isolated from the inside of a piece of red sandstone from coastal areas of Scotland. RSBr-1 was Gram negative, oxidase and catalase positive, and cells were non-motile rods. Sodium was required for growth. The optimum sodium chloride concentration and pH for growth were 4% and pH 8.0, respectively. Eumelanin was produced in marine broth and in BY medium. RSBr-1 hydrolyzes chitin, esculin, gelatin, and starch, but not agar. Nitrate reduction is positive. Taxonomic characterization of this strain indicated that it belongs to the genus Microbulbifer. The difference between the aligned 16S rDNA sequences of RSBr-1 and the closest relative, M. elongata, is greater than the difference between the 16S rDNA sequences of M. hydrolyticus and M. elongata. On the basis of the phenotypic and genotypic comparison of this isolate with the other strains, RSBr-1 is proposed as a new species, Microbulbifer arenaceous, with type strain RSBr-1.</t>
  </si>
  <si>
    <t>Heriot Watt Univ, Sch Life Sci, Ctr Marine Microbial Divers &amp; Biotechnol, Edinburgh EH14 4AS, Midlothian, Scotland</t>
  </si>
  <si>
    <t>Heriot Watt University</t>
  </si>
  <si>
    <t>Burgess, JG (corresponding author), Heriot Watt Univ, Sch Life Sci, Ctr Marine Microbial Divers &amp; Biotechnol, Edinburgh EH14 4AS, Midlothian, Scotland.</t>
  </si>
  <si>
    <t>Tanaka, Tsuyoshi/B-9949-2013</t>
  </si>
  <si>
    <t>Tanaka, Tsuyoshi/0000-0003-2601-2256</t>
  </si>
  <si>
    <t>0343-8651</t>
  </si>
  <si>
    <t>CURR MICROBIOL</t>
  </si>
  <si>
    <t>Curr. Microbiol.</t>
  </si>
  <si>
    <t>10.1007/s00284-003-4006-8</t>
  </si>
  <si>
    <t>725TC</t>
  </si>
  <si>
    <t>WOS:000185557600012</t>
  </si>
  <si>
    <t>Trathan, PN; Brierley, AS; Brandon, MA; Bone, DG; Goss, C; Grant, SA; Murphy, EJ; Watkins, JL</t>
  </si>
  <si>
    <t>Oceanographic variability and changes in Antarctic krill (Euphausia superba) abundance at South Georgia</t>
  </si>
  <si>
    <t>acoustic density; Antarctic Circumpolar Current; Antarctic krill; Euphausia superba; interannual variability; oceanography; Scotia Sea; South Georgia; Southern Antarctic Circumpolar Current boundary; Southern Antarctic Circumpolar Current; front; Southern Ocean</t>
  </si>
  <si>
    <t>CIRCUMPOLAR CURRENT; INTERANNUAL VARIABILITY; OCEAN CIRCULATION; ELEPHANT ISLAND; SEA; NORTH; FRONT; FLUCTUATIONS; TEMPERATURE; TRANSPORT</t>
  </si>
  <si>
    <t>Oceanographic data collected to the north of South Georgia were examined for three consecutive summers (1996/97, 1997/98, 1998/99). The results show the existence of a shelf break front during each period. The most reliable means of defining the front was the potential density anomaly at the near-surface potential temperature minimum. In each year, off-shelf waters were separated from on-shelf waters by water with a potential density anomaly between 27.22 and 27.29 kg m(-3). During 1997/98, the near-surface potential temperature minimum was much colder and much shallower than in other years and was consistent with waters originating from much further south than South Georgia; these differences were further evident at a single deep off-shelf station. The oceanographic changes during 1997/98 were consistent with a mesoscale or large-scale movement of the southern Antarctic Circumpolar Current front. Acoustically determined densities of Antarctic krill, Euphausia superba, at South Georgia showed consistent patterns between years. Densities were substantially higher over the shelf compared with off-shelf, with the highest densities at the shelf edge; densities were also higher to the east of the island. During 1997/98, acoustic densities of krill were substantially higher than in other years. The coincidence of the elevated acoustic density and the cooler oceanographic conditions was explored. When data from all years were combined and analysed by Generalized Additive Model, an inverse relationship between acoustic density and temperature was apparent. Historical data were also examined and it was noted that the only other occurrence of such a high estimate of krill density at South Georgia, was when oceanographic conditions were also colder.</t>
  </si>
  <si>
    <t>British Antarctic Survey, Cambridge CB3 0ET, England; Univ St Andrews, Gatty Marine Lab, St Andrews KY16 8LB, Fife, Scotland; Open Univ, Milton Keynes MK7 6AA, Bucks, England</t>
  </si>
  <si>
    <t>UK Research &amp; Innovation (UKRI); Natural Environment Research Council (NERC); NERC British Antarctic Survey; University of St Andrews; Open University - UK</t>
  </si>
  <si>
    <t>p.trathan@bas.ac.uk</t>
  </si>
  <si>
    <t>Brandon, Mark A/A-5804-2010; murphy, eugene/GZL-1620-2022; Brierley, Andrew/G-8019-2011</t>
  </si>
  <si>
    <t>Brandon, Mark/0000-0002-7779-0958; Brierley, Andrew/0000-0002-6438-6892</t>
  </si>
  <si>
    <t>10.1046/j.1365-2419.2003.00268.x</t>
  </si>
  <si>
    <t>749AD</t>
  </si>
  <si>
    <t>WOS:000186895700004</t>
  </si>
  <si>
    <t>Page, MC; Dickens, GR; Dunbar, GB</t>
  </si>
  <si>
    <t>Tropical view of quaternary sequence stratigraphy: Siliciclastic accumulation on slopes east of the Great Barrier Reef since the Last Glacial Maximum</t>
  </si>
  <si>
    <t>Great Barrier Reef; sequence stratigraphy; sedimentation rates; transgression; late Quaternary; Last Glacial Maximum</t>
  </si>
  <si>
    <t>SEA-LEVEL; CONTINENTAL-SHELF; EARLY HOLOCENE; AUSTRALIA; SEDIMENT; LOWSTAND; SOUTHERN; CYCLES; LAGOON; MARGIN</t>
  </si>
  <si>
    <t>Generic models of continental-margin evolution predict that silicielastic fluxes to slopes should be maximal and minimal during major sea-level lowstands and transgressions, respectively. Here we document the opposite for the northeast Australian margin, the largest extant mixed silicielastic-carbonate depositional system. Cores from slopes of this margin consistently contain silicielastic-rich intervals, similar to0.3-1 m thick, in the upper few meters. Radiocarbon dates of planktonic foraminifera show that this interval was deposited between 12 and 7 ka and represents greatly increased silicielastic fluxes during late transgression. This massive terrigenous discharge to slopes occurred along at least 450 km of the margin, irrespective of modern variations in bathymetry or climate. Although we cannot dismiss a significantly different early Holocene climate with greatly enhanced sediment discharge, available data instead suggest that rivers aggraded on the shelf during lowstand because of an extensive subaerially exposed reef system. This phenomenon may occur on other margins rimmed by reefs, requiring a major revision of concepts used to interpret mixed silicielastic-carbonate systems.</t>
  </si>
  <si>
    <t>James Cook Univ N Queensland, Sch Earth Sci, Townsville, Qld 4811, Australia; Rice Univ, Dept Earth Sci, Houston, TX 77005 USA; Univ Victoria, Antarctic Res Ctr, Wellington, New Zealand</t>
  </si>
  <si>
    <t>James Cook University; Rice University; Victoria University Wellington</t>
  </si>
  <si>
    <t>Page, MC (corresponding author), James Cook Univ N Queensland, Sch Earth Sci, Townsville, Qld 4811, Australia.</t>
  </si>
  <si>
    <t>GEOLOGICAL SOC AMERICA, INC</t>
  </si>
  <si>
    <t>10.1130/G19622.1</t>
  </si>
  <si>
    <t>740PQ</t>
  </si>
  <si>
    <t>WOS:000186411100022</t>
  </si>
  <si>
    <t>Carcione, JEM; Gei, D</t>
  </si>
  <si>
    <t>Seismic modelling study of a subglacial lake</t>
  </si>
  <si>
    <t>GEOPHYSICAL PROSPECTING</t>
  </si>
  <si>
    <t>WAVE-PROPAGATION; ICE-SHEET; WATER; ATTENUATION; REFLECTION; VELOCITY; MEDIA</t>
  </si>
  <si>
    <t>We characterize the seismic response of Lake Vostok, an Antarctic subglacial lake located at nearly 4 km depth below the ice sheet. This study is relevant for the determination of the location and morphology of subglacial lakes. The characterization requires the design of a methodology based on rock physics and numerical modelling of wave propagation. The methodology involves rock-physics models of the shallow layer (firn), the ice sheet and the lake sediments, numerical simulation of synthetic seismograms, ray tracing, tau-p transforms, and AVA analysis, based on the theoretical reflection coefficients. The modelled reflection seismograms show a set of straight events (refractions through the firn and top-ice layer) and the two reflection events associated with the top and bottom of the lake. Theoretical AVA analysis of these reflections indicates that, at near offsets, the PP-wave anomaly is negative for the ice/water interface and constant for the water/sediment interface. This behaviour is shown by AVA analysis of the synthetic data set. This study shows that subglacial lakes can be identified by using seismic methods. Moreover, the methodology provides a tool for designing suitable seismic surveys.</t>
  </si>
  <si>
    <t>Ist Nazl Oceanog &amp; Geofis Sperimentale OGs, I-34010 Trieste, Italy</t>
  </si>
  <si>
    <t>Ist Nazl Oceanog &amp; Geofis Sperimentale OGs, Borgo Grotta Gigante 42C, I-34010 Trieste, Italy.</t>
  </si>
  <si>
    <t>jcarcione@ogs.trieste.it</t>
  </si>
  <si>
    <t>Carcione, Jose M/T-9660-2019</t>
  </si>
  <si>
    <t>Carcione, Jose M/0000-0002-2839-705X; Gei, Davide/0000-0002-5755-6697</t>
  </si>
  <si>
    <t>0016-8025</t>
  </si>
  <si>
    <t>1365-2478</t>
  </si>
  <si>
    <t>GEOPHYS PROSPECT</t>
  </si>
  <si>
    <t>Geophys. Prospect.</t>
  </si>
  <si>
    <t>10.1046/j.1365-2478.2003.00388.x</t>
  </si>
  <si>
    <t>736LH</t>
  </si>
  <si>
    <t>WOS:000186171900003</t>
  </si>
  <si>
    <t>Genthon, C; Cosme, E</t>
  </si>
  <si>
    <t>Intermittent signature of ENSO in west-Antarctic precipitation</t>
  </si>
  <si>
    <t>Antarctic precipitation; interannual/interdecadal variability; El Nino Southern Oscillation; ERA40 reanalysis; surface mass balance</t>
  </si>
  <si>
    <t>SURFACE MASS-BALANCE; SOUTHERN-OSCILLATION</t>
  </si>
  <si>
    <t>Precipitation data from the new ERA40 reanalyses and from a 200-year simulation confirm a robust main mode of precipitation variability in west Antarctica. An intermittently strong ENSO signature is found in this mode. However, high correlation with ENSO indices appears infrequent. Thus, the high correlation found in ERA40, and previously in other chronologically realistic data, in the late 1980s and the 1990s may not be expected to last. Unlike previously suggested by others, the sign of the correlation between ENSO indices and west Antarctic precipitation, when significant, does not appear to change in time: Precipitation variability at the ENSO pace in the Bellingshausen-Weddell (Ross-Amunsden) region is consistently in phase (phase opposition, respectively) with the Southern Oscillation Index. This is consistent with a tropospheric wave train connecting the tropical Pacific and west Antarctic regions, which modulates in phase opposition the advection of air and moisture in the 2 regions.</t>
  </si>
  <si>
    <t>Lab Glaciol &amp; Geophys Environm, CNRS, OSUG, F-38402 St Martin Dheres, France</t>
  </si>
  <si>
    <t>Genthon, C (corresponding author), Lab Glaciol &amp; Geophys Environm, CNRS, OSUG, BP 96, F-38402 St Martin Dheres, France.</t>
  </si>
  <si>
    <t>NOV 1</t>
  </si>
  <si>
    <t>10.1029/2003GL018280</t>
  </si>
  <si>
    <t>740GP</t>
  </si>
  <si>
    <t>WOS:000186394900003</t>
  </si>
  <si>
    <t>Theissen, KM; Dunbar, RB; Cooper, AK; Mucciarone, DA; Hoffmann, D</t>
  </si>
  <si>
    <t>The Pleistocene evolution of the East Antarctic Ice Sheet in the Prydz bay region: stable isotopic evidence from ODP site 1167</t>
  </si>
  <si>
    <t>Ocean Drilling Program; Prydz Bay; trough mouth fan; stable isotopes; foraminifers; quaternary; Paleoclimate</t>
  </si>
  <si>
    <t>OUTER LAPTEV SEA; NEOGLOBOQUADRINA-PACHYDERMA; WEDDELL SEA; CONTINENTAL-MARGIN; OXYGEN-ISOTOPE; SOUTHERN-OCEAN; PLANKTIC FORAMINIFERS; BENTHIC FORAMINIFERA; CARBON; FRACTIONATION</t>
  </si>
  <si>
    <t>Ocean Drilling Program Leg 188, Prydz Bay, East Antarctica is part of a larger initiative to explore the Cenozoic history of the Antarctic Ice Sheet through direct drilling and sampling of the continental margins. In this paper, we present stable isotopic results from Ocean Drilling Program (ODP) Site 1167 located on the Prydz Channel Trough Mouth Fan (TMF), the first Antarctic TMF to be drilled. The foraminifer-based delta(18)O record is interpreted along with sedimentary and downhole logging evidence to reconstruct the Quaternary glacial history of Prydz Bay and the adjacent Lambert Glacier Amery Ice Shelf System (LGAISS). We report an electron spin resonance age date of 36.9 + 3.3 ka at 0.45 in below sea floor and correlate suspected glacial-interglacial cycles with the global isotopic stratigraphy to improve the chronology for Site 1167. The 6180 record based on planktonic (Neogloboquadrina pachyderma (s.)) and limited benthic results (Globocassidulina crassa), indicates a trend of ice sheet expansion that was interrupted by a period of reduced ice volume and possibly warmer conditions during the early-mid-Pleistocene (0.9-1.38 Ma). An increase in delta(18)O values after - 900 ka appears to coincide with the mid-Pleistocene climate transition and the expansion of the northern hemisphere ice sheet. The 6180 record in the upper 50 m of the stratigraphic section indicates as few as three glacial-interglacial cycles, tentatively assigned as marine isotopic stages (MIS) 16-21, are preserved since the Brunhes/Matuyama paleomagnetic reversal (780 ka). This suggests that there is a large unconformity near the top of the section and/or that there may have been few extreme advances of the ice sheet since the mid-Pleistocene climate transition resulting in lowered sedimentation rates on the Prydz Channel TMF. The stable isotopic record from Site 1167 is one of the few available from the area south of the Antarctic Polar Front that has been linked with the global isotopic stratigraphy. Our results suggest the potential for the recovery of useful stable isotopic records in other TMFs. (C) 2003 Elsevier B.V All rights reserved.</t>
  </si>
  <si>
    <t>Stanford Univ, Dept Geol &amp; Environm Sci, Stanford, CA 94305 USA; US Geol Survey, Menlo Pk, CA 94025 USA; Heidelberger Akad Wissensch, Inst Umweltphys, D-69120 Heidelberg, Germany</t>
  </si>
  <si>
    <t>Stanford University; United States Department of the Interior; United States Geological Survey; Ruprecht Karls University Heidelberg</t>
  </si>
  <si>
    <t>Univ St Thomas, Dept Geol, 2115 Summit Ave, St Paul, MN 55105 USA.</t>
  </si>
  <si>
    <t>kmtheissen@stthomas.edu</t>
  </si>
  <si>
    <t>Theissen, Kevin/0000-0002-6005-4380; Hoffmann, Dirk/0000-0002-9245-2041; Dunbar, Robert/0000-0002-9728-5609</t>
  </si>
  <si>
    <t>10.1016/S0921-8181(03)00118-8</t>
  </si>
  <si>
    <t>732RD</t>
  </si>
  <si>
    <t>WOS:000185958600003</t>
  </si>
  <si>
    <t>Mallinson, DJ; Flower, B; Hine, A; Brooks, G; Garza, RM</t>
  </si>
  <si>
    <t>Paleoclimate implications of high latitude precession-scale mineralogic fluctuations during early Oligocene Antarctic glaciation: the Great Australian Bight record</t>
  </si>
  <si>
    <t>precession; eccentricity; orbital-forcing; Australian-Antarctic Seaway; Antarctic glaciation; Oligocene; clay mineralogy; Great Australian Bight</t>
  </si>
  <si>
    <t>SEDIMENTOLOGICAL EVIDENCE; STABLE-ISOTOPE; ICE-SHEET; EOCENE; OCEAN; TIME; CALIBRATION; EXPANSION; SEDIMENTS; EVOLUTION</t>
  </si>
  <si>
    <t>Sediments from ODP Site 1128 in the Great Australian Bight record isotopic and mineralogic variations corresponding to orbital parameters and regional climate change during the early Oligocene climate transition and Oil glacial event. Bulk carbonate stable isotope analyses reveal prominent positive oxygen and carbon isotope shifts related to the inferred major increase in glaciation at approximately 33.6 to 33.48 Ma. The oxygen isotope excursion corresponds to a prolonged period of low eccentricity, suggesting ice-sheet growth during low seasonality conditions. The clay mineralogy is dominated by smectite throughout. The exclusive occurrence of highly crystalline smectite from 33.6 to 33.5 Ma suggests the occurrence of explosive volcanism that correlates with the positive oxygen isotope shift. The dominance of mixed-layer smectite from 33.5 to 33.4 Ma and an increase in illite following 33.4 Ma indicates a transition from cool, wet conditions to cool, dry conditions over Australia during the Oil glaciation. Clay mineralogy and carbonate percentages reveal precession-scale oscillations during the Oil event. Kaolinite varies inversely with smectite and percent carbonate. Variations in precipitation and runoff, and wind velocities during southern hemisphere summer perihelion and high eccentricity intervals may account for the precession-scale oscillations. (C) 2003 Elsevier B.V. All rights reserved.</t>
  </si>
  <si>
    <t>E Carolina Univ, Dept Geol, Greenville, NC 27858 USA; Univ S Florida, Coll Marine Sci, St Petersburg, FL 33701 USA; Eckerd Coll, Dept Marine Sci, St Petersburg, FL 33705 USA; Univ Nacl Autonoma Mexico, Unidad Ciencias Tierra, Mexico City 76230, DF, Mexico</t>
  </si>
  <si>
    <t>University of North Carolina; East Carolina University; State University System of Florida; University of South Florida; Universidad Nacional Autonoma de Mexico</t>
  </si>
  <si>
    <t>E Carolina Univ, Dept Geol, 101 Graham Bldg, Greenville, NC 27858 USA.</t>
  </si>
  <si>
    <t>mallinsond@mail.ecu.edu; bflower@seas.marine.usf.edu; ahine@seas.marine.usf.edu; brooksgr@eckerd.edu; rmolina@unicit.unam.mx</t>
  </si>
  <si>
    <t>10.1016/S0921-8181(03)00119-X</t>
  </si>
  <si>
    <t>WOS:000185958600004</t>
  </si>
  <si>
    <t>Dissemond, J; Goos, M</t>
  </si>
  <si>
    <t>Proteolytic enzymes in wound-bed preparation of chronic wounds</t>
  </si>
  <si>
    <t>HAUTARZT</t>
  </si>
  <si>
    <t>German</t>
  </si>
  <si>
    <t>proteolytic enzymes; chronic wounds; wound-healing; wound-bed-preparation</t>
  </si>
  <si>
    <t>ANTARCTIC KRILL; ENZYMATIC DEBRIDEMENT; MATRIX METALLOPROTEINASES; LEG ULCERS; COLLAGENASE; PROTEASE; EUPHAUSERASE; INDUCTION; OINTMENT; TISSUE</t>
  </si>
  <si>
    <t>In the past few years,several different proteolytic enzymes have been shown to be effective in conditioning the chronic wound beds.The use of proteolytic enzymes in wound-bed preparation enables a selective painless debridement.Moreover multiple positive effects on formation of granulation tissue and re-epithelialization have been observed.Therefore, a faster overall healing of chronic wounds may result. Moreover, numerous positive effects on a rapid induction of granulation are discussed.The supporting data do not fulfill the criteria of evidence-based medicine. For most chronic wounds today, enzymatic debridement represents a first choice method especially for outpatients and perhaps in combination with surgical debridement.</t>
  </si>
  <si>
    <t>Univ Klinikum Essen, Dermatol Klin &amp; Poliklin, D-45147 Essen, Germany</t>
  </si>
  <si>
    <t>Univ Klinikum Essen, Dermatol Klin &amp; Poliklin, Hufelandstr 55, D-45147 Essen, Germany.</t>
  </si>
  <si>
    <t>Dissemond, Joachim/AFG-0691-2022</t>
  </si>
  <si>
    <t>0017-8470</t>
  </si>
  <si>
    <t>1432-1173</t>
  </si>
  <si>
    <t>Hautarzt</t>
  </si>
  <si>
    <t>10.1007/s00105-003-0582-6</t>
  </si>
  <si>
    <t>Dermatology</t>
  </si>
  <si>
    <t>747HF</t>
  </si>
  <si>
    <t>WOS:000186798600007</t>
  </si>
  <si>
    <t>Forster, RR; Jezek, KC; Koenig, L; Deeb, E</t>
  </si>
  <si>
    <t>Measurement of glacier geophysical properties from InSAR wrapped phase</t>
  </si>
  <si>
    <t>IEEE TRANSACTIONS ON GEOSCIENCE AND REMOTE SENSING</t>
  </si>
  <si>
    <t>glaciers; interferometric synthetic aperture radar (InSAR); interferometry</t>
  </si>
  <si>
    <t>SATELLITE RADAR INTERFEROMETRY; ICE-SHEET MOTION; VELOCITY-FIELD; FLOW; TOPOGRAPHY; HUMBOLDT</t>
  </si>
  <si>
    <t>A method is presented for calculating. longitudinal glacier strain rates directly from the wrapped phase of an interferometric synthetic aperture radar (InSAR) interferogram assuming the ice flow path is known. This technique enables strain rates to be calculated for scenes lacking any velocity control points or areas within a scene where the phase is not continuously unwrappable from a velocity control point. The contributions to the error in the estimate of the strain rate are evaluated, and recommendations for appropriate SAR and InSAR parameters are presented. An example using Radarsat-1 InSAR data of art East Antarctic ice stream demonstrates the technique for calculating longitudinal strain rate profiles and estimating tensile strength of ice (186-215 kPa) from locations of crevasse initiation. The strain rate error was found to be 17% corresponding to a tensile strength of ice error of 5.3%.</t>
  </si>
  <si>
    <t>Univ Utah, Dept Geog, Salt Lake City, UT 84112 USA; Ohio State Univ, Byrd Polar Res Ctr, Columbus, OH 43210 USA</t>
  </si>
  <si>
    <t>Utah System of Higher Education; University of Utah; University System of Ohio; Ohio State University</t>
  </si>
  <si>
    <t>Univ Utah, Dept Geog, Salt Lake City, UT 84112 USA.</t>
  </si>
  <si>
    <t>rick.forster@geog.uiah.edu</t>
  </si>
  <si>
    <t>IEEE-INST ELECTRICAL ELECTRONICS ENGINEERS INC</t>
  </si>
  <si>
    <t>PISCATAWAY</t>
  </si>
  <si>
    <t>445 HOES LANE, PISCATAWAY, NJ 08855-4141 USA</t>
  </si>
  <si>
    <t>0196-2892</t>
  </si>
  <si>
    <t>1558-0644</t>
  </si>
  <si>
    <t>IEEE T GEOSCI REMOTE</t>
  </si>
  <si>
    <t>IEEE Trans. Geosci. Remote Sensing</t>
  </si>
  <si>
    <t>10.1109/TGRS.2003.815413</t>
  </si>
  <si>
    <t>Geochemistry &amp; Geophysics; Engineering, Electrical &amp; Electronic; Remote Sensing; Imaging Science &amp; Photographic Technology</t>
  </si>
  <si>
    <t>Geochemistry &amp; Geophysics; Engineering; Remote Sensing; Imaging Science &amp; Photographic Technology</t>
  </si>
  <si>
    <t>743KZ</t>
  </si>
  <si>
    <t>WOS:000186572100018</t>
  </si>
  <si>
    <t>McGaughey, I; Sullivan, P</t>
  </si>
  <si>
    <t>The epidemiology of knee and ankle injuries on Macquarie Island</t>
  </si>
  <si>
    <t>INJURY-INTERNATIONAL JOURNAL OF THE CARE OF THE INJURED</t>
  </si>
  <si>
    <t>Macquarie Island is a small, rugged sub-Antarctic island with a scientific research station and a considerable reputation for knee and ankle injuries amongst the Australian, Antarctic Division expeditioner population. In order to examine the accuracy of this reputation, a 10-year retrospective analysis of all knee and ankle injuries recorded by the Macquarie Island Medical Officer in the medical logs was undertaken. Knee and ankle injuries comprised 13% of the 2,678 recorded medical consultations. The majority of initial injuries occurred in the field and almost a third occurred during work related activities. Ankle ligament sprains were the most commonly recorded injury (17%), followed by achilles tendonitis (14%), enthesopathy of the knee (16%), and chondromalacia patellae (10%). Meniscal tears and collateral ligament of the knee sprains contributed a further 11 and 9%, respectively. While there were few significant knee and ankle injuries during this period, around a third of the expeditioners represented to the Medical Officer with recurrent difficulties. (C) 2003 Elsevier Science Ltd. All rights reserved.</t>
  </si>
  <si>
    <t>McGaughey, I (corresponding author), Australian Antarctic Div, Channel Highway, Kingston, Tas, Australia.</t>
  </si>
  <si>
    <t>0020-1383</t>
  </si>
  <si>
    <t>INJURY</t>
  </si>
  <si>
    <t>Injury-Int. J. Care Inj.</t>
  </si>
  <si>
    <t>10.1016/S0020-1383(03)00032-9</t>
  </si>
  <si>
    <t>Critical Care Medicine; Emergency Medicine; Orthopedics; Surgery</t>
  </si>
  <si>
    <t>General &amp; Internal Medicine; Emergency Medicine; Orthopedics; Surgery</t>
  </si>
  <si>
    <t>745DJ</t>
  </si>
  <si>
    <t>WOS:000186673400008</t>
  </si>
  <si>
    <t>Beck, CA; Bowen, WD; McMillan, JI; Iverson, SJ</t>
  </si>
  <si>
    <t>Sex differences in diving at multiple temporal scales in a size-dimorphic capital breeder</t>
  </si>
  <si>
    <t>JOURNAL OF ANIMAL ECOLOGY</t>
  </si>
  <si>
    <t>bouts; foraging trips; grey seals; seasonal patterns</t>
  </si>
  <si>
    <t>SEALS HALICHOERUS-GRYPUS; ANTARCTIC FUR SEALS; GREY SEALS; FORAGING BEHAVIOR; REPRODUCTIVE-BEHAVIOR; LACTATION PERFORMANCE; FOOD AVAILABILITY; IDOTEA-BALTICA; ELEPHANT SEALS; BODY CONDITION</t>
  </si>
  <si>
    <t>1. Air-breathing marine predators can modify their diving behaviour to accommodate different patterns of prey abundance and distribution and may do so at multiple temporal scales (individual dives, bouts of dives and foraging trips). 2. The grey seal, Halichoerus grypus, is a size-dimorphic, capital breeding species in which sex differences in foraging ecology have previously been found at the scale of individual dives. In this study, diving behaviour of male and female adult grey seals was examined at the temporal scales of dive bouts (41 males/46 females) and foraging trips (7 males/9 females) during the 8-month prebreeding foraging period between 1992 and 1999 to investigate whether sex differences were evident at longer temporal scales. 3. Foraging trip duration did not differ between males and females. However, females (the smaller sex) spent significantly more time diving and less time hauled-out on land between trips than males. This suggests that females are more selective than males when searching for prey. These differences are consistent with the effects of body-size dimorphism on diving behaviour. 4. Virtually all dives occurred in bouts. At this scale, males and females showed significantly different seasonal patterns of most bout characteristics, including bout duration, percentage of bout spent at depth and effort (hours spent in bouts day(-1)). 5. Grey seals used four different types of bouts, differing in duration, depth, percentage bout spent at depth and the shape of individual dives within the bout. Males and females differed in the proportion of each bout type used and in the seasonal and day-night distribution of bout types. 6. Few bout characteristics varied significantly among years, despite interannual variation in prey abundance. Where interannual differences did occur, both sexes behaved in a similar way. 7. Different seasonal patterns in bouts of diving by males and females could not be accounted for by body-size dimorphism or niche divergence, but were consistent with the hypothesis that females must recover condition earlier in the year than males to support the energetic costs of reproduction.</t>
  </si>
  <si>
    <t>Dalhousie Univ, Dept Biol, Halifax, NS B3H 4J1, Canada; Fisheries &amp; Oceans Canada, Bedford Inst Oceanog, Marine Fish Div, Dartmouth, NS B2Y 4A2, Canada</t>
  </si>
  <si>
    <t>Dalhousie University; Fisheries &amp; Oceans Canada; Bedford Institute of Oceanography</t>
  </si>
  <si>
    <t>Beck, CA (corresponding author), Alaska Dept Fish &amp; Game, Div Wildlife Conservat Marine Mammals, 525 W 67th Ave, Anchorage, AK 99518 USA.</t>
  </si>
  <si>
    <t>charlotte_beck@fishgame.state.ak.us</t>
  </si>
  <si>
    <t>Bowen, William/AAE-7204-2022; Bowen, William D/D-2758-2012</t>
  </si>
  <si>
    <t>Bowen, William/0000-0001-8334-5677; Iverson, Sara/0000-0003-2842-4094</t>
  </si>
  <si>
    <t>0021-8790</t>
  </si>
  <si>
    <t>1365-2656</t>
  </si>
  <si>
    <t>J ANIM ECOL</t>
  </si>
  <si>
    <t>J. Anim. Ecol.</t>
  </si>
  <si>
    <t>10.1046/j.1365-2656.2003.00761.x</t>
  </si>
  <si>
    <t>740ZJ</t>
  </si>
  <si>
    <t>WOS:000186432900008</t>
  </si>
  <si>
    <t>Instrument- and tree-ring-based estimates of the Antarctic oscillation</t>
  </si>
  <si>
    <t>NORTH-ATLANTIC OSCILLATION; SEA-LEVEL PRESSURE; NEW-ZEALAND CLIMATE; SPACE-TIME CLIMATE; EXTRATROPICAL CIRCULATION; SPATIAL VARIABILITY; ANNULAR MODES; PART II; RECONSTRUCTION; TEMPERATURE</t>
  </si>
  <si>
    <t>An estimate of the strength of the austral summer Antarctic Oscillation using station sea level pressure records for the period 1878 - 2000 is presented, the first to the authors' knowledge. The reconstruction was obtained by relating the Antarctic Oscillation (AAO) intensity derived from NCEP - NCAR reanalysis data to the leading principal components of station records using multiple regression analysis. Particular effort has been made to fit the model in a way that is robust to the questionable trends in the NCEP - NCAR data in the Southern Hemisphere. The trends in the reconstruction are derived from the station data, not from the NCEP data. Cross-validation with the NCEP data and comparison with other analyses of the AAO over the late instrumental period give confidence that this station-based reconstruction can be regarded as trustworthy. With regard to the whole reconstruction period, some unquantifiable uncertainty stems from potential instability of the statistical relationships. To extend this record further back, a reconstruction using tree-ring chronologies back to 1743 has also been undertaken. Comparison with the station-based reconstruction shows moderate agreement on interannual and decadal timescales, but the comparison also points toward the inherent uncertainties of proxy-based climate reconstructions. In particular, it was found that this tree-based reconstruction may have been influenced by a warming that is not related to changes in the Antarctic Oscillation index during the twentieth century. Comparison of the tree-based reconstruction with a published reconstruction of zonal flow over New Zealand before the twentieth century shows common features. The temperature and precipitation signals of the Antarctic Oscillation have been calculated and show that the response of the chronologies to Antarctic Oscillation variability is physically plausible. In addition, it was shown that a substantial fraction of the observed warming over much of Antarctica between the late 1950s and the 1980s can be linked to changes in the Antarctic Oscillation, whereas the observed warming over New Zealand is related to other influences.</t>
  </si>
  <si>
    <t>GKSS Forschungszentrum Geesthacht GmbH, Inst Coastal Res, D-21502 Geesthacht, Germany.</t>
  </si>
  <si>
    <t>jones@gkss.de</t>
  </si>
  <si>
    <t>; Widmann, Martin/P-5178-2015</t>
  </si>
  <si>
    <t>Jones, Julie/0000-0003-2892-8647; Widmann, Martin/0000-0001-5447-5763</t>
  </si>
  <si>
    <t>10.1175/1520-0442(2003)016&lt;3511:IATEOT&gt;2.0.CO;2</t>
  </si>
  <si>
    <t>734WW</t>
  </si>
  <si>
    <t>WOS:000186081800009</t>
  </si>
  <si>
    <t>Wharton, DA</t>
  </si>
  <si>
    <t>The environmental physiology of Antarctic terrestrial nematodes: a review</t>
  </si>
  <si>
    <t>JOURNAL OF COMPARATIVE PHYSIOLOGY B-BIOCHEMICAL SYSTEMIC AND ENVIRONMENTAL PHYSIOLOGY</t>
  </si>
  <si>
    <t>anhydrobiosis; cold tolerance; cryoprotective dehydration; desiccation; freezing; osmoregulation</t>
  </si>
  <si>
    <t>COLD-TOLERANCE MECHANISMS; PYROCHROID BEETLE LARVAE; PANAGROLAIMUS-DAVIDI; ROSS ISLAND; DENDROIDES CANADENSIS; ANTIFREEZE PROTEINS; FREEZING TOLERANCE; SEASONAL-VARIATION; SUPERCOOLED STATE; ICE NUCLEATORS</t>
  </si>
  <si>
    <t>The environmental physiology of terrestrial Antarctic nematodes is reviewed with an emphasis on their cold-tolerance strategies. These nematodes are living in one of the most extreme environments on Earth and face a variety of stresses, including low temperatures and desiccation. Their diversity is low and declines with latitude. They show resistance adaptation, surviving freezing and desiccation in a dormant state but reproducing when conditions are favourable. At high freezing rates in the surrounding medium the Antarctic nematode Panagrolaimus davidi freezes by inoculative freezing but can survive intracellular freezing. At slow freezing rates this nematode does not freeze but undergoes cryoprotective dehydration. Cold tolerance may be aided by rapid freezing, the production of trehalose and by an ice-active protein that inhibits recrystallisation. P. davidi relies on slow rates of water loss from its habitat, and can survive in a state of anhydrobiosis, perhaps aided by the ability to synthesise trehalose. Teratocephalus tilbrooki and Ditylenchus parcevivens are fast-dehydration strategists. Little is known of the osmoregulatory mechanisms of Antarctic nematodes. Freezing rates are likely to vary with water content in Antarctic soils. Saturated soils may produce slow freezing rates and favour cryoprotective dehydration. As the soil dries freezing rates may become faster, favouring freezing tolerance. When the soil dries completely the nematodes survive anhydrobiotically. Terrestrial Antarctic nematodes thus have a variety of strategies that ensure their survival in a harsh and variable environment. We need to more fully understand the conditions to which they are exposed in Antarctic soils and to apply more natural rates of freezing and desiccation to our studies.</t>
  </si>
  <si>
    <t>Univ Otago, Dept Zool, Dunedin, New Zealand</t>
  </si>
  <si>
    <t>University of Otago</t>
  </si>
  <si>
    <t>Wharton, DA (corresponding author), Univ Otago, Dept Zool, POB 56, Dunedin, New Zealand.</t>
  </si>
  <si>
    <t>0174-1578</t>
  </si>
  <si>
    <t>J COMP PHYSIOL B</t>
  </si>
  <si>
    <t>J. Comp. Physiol. B-Biochem. Syst. Environ. Physiol.</t>
  </si>
  <si>
    <t>10.1007/s00360-003-0378-0</t>
  </si>
  <si>
    <t>Physiology; Zoology</t>
  </si>
  <si>
    <t>752EL</t>
  </si>
  <si>
    <t>WOS:000187146800001</t>
  </si>
  <si>
    <t>Langenbuch, M; Pörtner, HO</t>
  </si>
  <si>
    <t>Energy budget of hepatocytes from Antarctic fish (Pachycara brachycephalum and Lepidonotothen kempi) as a function of ambient CO2:: pH-dependent limitations of cellular protein biosynthesis?</t>
  </si>
  <si>
    <t>hypercapnia; CO2; antarctic fish; Pachycara brachycephalum; Lepidonotothen kempi; oxygen consumption; metabolic rate; respiratory acidosis; protein synthesis; hepatocyte</t>
  </si>
  <si>
    <t>INVERTEBRATE SIPUNCULUS-NUDUS; ACID-BASE VARIABLES; METABOLIC DEPRESSION; INTRACELLULAR PH; OXYGEN-CONSUMPTION; RAINBOW-TROUT; BUFO-MARINUS; RESPIRATION; INHIBITION; MECHANISM</t>
  </si>
  <si>
    <t>Scenarios of rising CO2 concentration in surface waters due to atmospheric accumulation of anthropogenic CO2, or in the deep sea due to anticipated industrial dumping of CO2, suggest that hypercapnia (elevated partial pressure of CO2) will become a general stress factor in aquatic environments, with largely unknown effects on species survival and well being, especially in cold and deep waters. For an analysis of CO2 effects at the cellular level, isolated hepatocytes were prepared from two representatives of the Antarctic fish fauna, Pachycara brachycephalum and Lepidonotothen kempi. Correlated changes in energy and protein metabolism were investigated by determining the rates of oxygen consumption at various levels of P-CO2, of intra- and extracellular pH, and after inhibition of protein synthesis by cycloheximide. A decrease in extracellular pH (pHe) from control levels (pHe 7.90) to pHe 6.50 caused a reduction in aerobic metabolic rate of 34-37% under both normocapnic and hypercapnic conditions. Concomitantly, protein biosynthesis was inhibited by about 80% under conditions of severe acidosis in hepatocytes from both species. A parallel drop in intracellular pH probably mediates this effect. In conclusion, the present data indicate that elevated P-CO2 may limit the functional integrity of the liver due to a pronounced depression in protein anabolism. This process may contribute to the limits of whole-animal tolerance to raised CO2 levels.</t>
  </si>
  <si>
    <t>hpoertner@awi-bremerhaven.de</t>
  </si>
  <si>
    <t>Pörtner, Hans-O./K-9429-2016; Pörtner, Hans-O./ISU-9397-2023</t>
  </si>
  <si>
    <t>Pörtner, Hans-O./0000-0001-6535-6575;</t>
  </si>
  <si>
    <t>10.1242/jeb.00620</t>
  </si>
  <si>
    <t>755FX</t>
  </si>
  <si>
    <t>WOS:000187393800009</t>
  </si>
  <si>
    <t>Sinclair, BJ; Klok, CJ; Scott, MB; Terblanche, JS; Chown, SL</t>
  </si>
  <si>
    <t>Diurnal variation in supercooling points of three species of Collembola from Cape Hallett, Antarctica</t>
  </si>
  <si>
    <t>cold tolerance; rapid cold hardening; microclimate temperature; behavioural avoidance; acclimation</t>
  </si>
  <si>
    <t>COLD-HARDINESS; LOW-TEMPERATURES; ICE NUCLEATION; SIGNY ISLAND; TOLERANCE; DESICCATION; ALPINE; DISTRIBUTIONS; DEHYDRATION; MECHANISMS</t>
  </si>
  <si>
    <t>Daily changes in microclimate temperature and supercooling point (SCP) of Collembola were measured during summer at Cape Hallett, North Victoria Land, Antarctica. Isotoma klovstadi and Cryptopygus cisantarcticus (Isotomidae) showed bimodal SCP distributions, predominantly in the high group during the day and in the low group during the night. There were no concurrent diurnal changes in water content or haemolymph osmolality. By contrast, Friesea grisea (Neanuridae) had a unimodal distribution of SCPs that was invariant between daytime and nighttime. Isotoma klovstadi collected foraging on moss had uniformly high SCPs, which shifted towards the low group when the animals were starved for 2-8 h. When L klovstadi was acclimated for five days with lichen or algae, SCPs were higher than if they were supplied with moss, while those that were starved (with free water or 100% relative humidity) displayed a trimodal SCP distribution. A variety of pre-treatments, including cold, heat, desiccation and slow cooling were ineffective at inducing SCP shifts in C. cisantarcticus or I. klovstadi. It is postulated that behavioural avoidance of low temperatures by vertical migration may be key in I. klovstadi's short-term survival of nighttime temperatures. These data suggest that the full range of thermal responses of Antarctic Collembola is yet to be elucidated. (C) 2003 Elsevier Ltd. All rights reserved.</t>
  </si>
  <si>
    <t>Univ Stellenbosch, Dept Zool, Spatial Physiol &amp; Conservat Ecol Grp, ZA-7602 Matieland, South Africa; Univ Otago, Dept Bot, Dunedin, New Zealand</t>
  </si>
  <si>
    <t>Stellenbosch University; University of Otago</t>
  </si>
  <si>
    <t>Chown, Steven L/H-3347-2011; Chown, Steven/ABD-7646-2021; Terblanche, John/AAB-4457-2020; Sinclair, Brent J/C-6133-2012</t>
  </si>
  <si>
    <t>Scott, Matthew/0000-0002-9629-1521; Terblanche, John/0000-0001-9665-9405; Sinclair, Brent/0000-0002-8191-9910</t>
  </si>
  <si>
    <t>10.1016/j.jinsphys.2003.08.002</t>
  </si>
  <si>
    <t>739MM</t>
  </si>
  <si>
    <t>WOS:000186350800009</t>
  </si>
  <si>
    <t>McDougall, TJ; Church, JA; Jackett, DR</t>
  </si>
  <si>
    <t>Does the nonlinearity of the equation of state impose an upper bound on the buoyancy frequency?</t>
  </si>
  <si>
    <t>JOURNAL OF MARINE RESEARCH</t>
  </si>
  <si>
    <t>OCEAN</t>
  </si>
  <si>
    <t>Mixing in the ocean is usually accompanied by a net reduction in volume caused by the nonlinear nature of the equation of state. This contraction-on-mixing at a certain depth implies that the whole water column above this depth slumps a little and so suffers a reduction in gravitational potential energy. Under certain circumstances the gravitational potential energy of the entire water column can decrease as a consequence of mixing activity at a certain depth. We examine Fofonoff's hypothesis that in these circumstances the net reduction of gravitational potential energy of the whole water column causes a local increase in the turbulent mixing activity at the location of the original mixing. Fofonoff proposed that this increased local mixing diffuses the local property gradients until the criterion for positive feedback is no longer satisfied, so providing an upper bound for the vertical stratification in the ocean. Bearing in mind the relatively inefficient nature of turbulent mixing at causing diapycnal fluxes (the majority of the turbulent kinetic energy goes directly into internal energy), we find that the criterion for positive feedback is a factor of approximately seven more difficult to achieve than has been realized to date. An examination of oceanic data shows that while Fofonoff's original criterion for positive feedback is often exceeded, the more appropriate criterion is almost never approached. The positive feedback hypothesis assumes that the reduction in the gravitational potential energy of the whole water column appears at the location of the original mixing as an increase in the turbulent mixing activity. We show that this very focused oceanic response is extremely difficult to justify. For example there is no such feedback in a strictly one-dimensional water column; rather all of the reduction in gravitational potential energy appears as an increase in internal energy at the depth of the original mixing and there is no possibility of any positive feedback to increase the turbulent mixing. As the positive feedback hypothesis is lacking a convincing theoretical basis and is not supported by oceanic data, we do not believe that it acts as an effective upper bound on oceanic stratification.</t>
  </si>
  <si>
    <t>CSIRO Marine Res, Hobart, Tas 7001, Australia; Univ Tasmania, Antarctic Climate &amp; Ecosyst CRC, Hobart, Tas 7001, Australia</t>
  </si>
  <si>
    <t>McDougall, TJ (corresponding author), CSIRO Marine Res, GPO Box 1538, Hobart, Tas 7001, Australia.</t>
  </si>
  <si>
    <t>trevor.mcdougall@csiro.au</t>
  </si>
  <si>
    <t>McDougall, Trevor J/A-6770-2013; Church, John A/A-1541-2012</t>
  </si>
  <si>
    <t>Church, John A/0000-0002-7037-8194</t>
  </si>
  <si>
    <t>SEARS FOUNDATION MARINE RESEARCH</t>
  </si>
  <si>
    <t>NEW HAVEN</t>
  </si>
  <si>
    <t>YALE UNIV, KLINE GEOLOGY LAB, 210 WHITNEY AVENUE, NEW HAVEN, CT 06520-8109 USA</t>
  </si>
  <si>
    <t>0022-2402</t>
  </si>
  <si>
    <t>J MAR RES</t>
  </si>
  <si>
    <t>J. Mar. Res.</t>
  </si>
  <si>
    <t>10.1357/002224003322981138</t>
  </si>
  <si>
    <t>808LO</t>
  </si>
  <si>
    <t>WOS:000220570800003</t>
  </si>
  <si>
    <t>Estrada-Peña, A; Venzal, JM; González-Acuña, D; Guglielmone, AA</t>
  </si>
  <si>
    <t>Argas (Persicargas) keiransi n. sp (Acari: Argasidae), a parasite of the chimango, Milvago c. chimango (Aves: Falconiformes) in Chile</t>
  </si>
  <si>
    <t>JOURNAL OF MEDICAL ENTOMOLOGY</t>
  </si>
  <si>
    <t>Argas (P.) keiransi n. sp.; Falconiformes; Chile</t>
  </si>
  <si>
    <t>IXODIDA</t>
  </si>
  <si>
    <t>The larva of Argas (Persicargas) keiransi Estrada-Pena, Venzal &amp; Gonzalez-Acuna n. sp. is described from specimens collected on the neck of a chimango, Milvago c. chimango (Aves: Falconiformes) in the Chillan, Chile, in the Sub-Antarctic biogeographical region. The larva of the new species shares the tarsus I setal formula with A. (P.) giganteus, these being the only two Persicargas species with three pairs of ventral setae plus both av4 and pv4 setae. However, it is unique in having a dorsal plate V or U shaped, with the anterior end open, without the typical reticulated pattern present in the remaining species of the genus.</t>
  </si>
  <si>
    <t>Univ Zaragoza, Fac Vet, Dept Parasitol, Zaragoza 50013, Spain; Univ Concepcion, Fac Vet, Chillan, Chile; INTA, Rafaela, Argentina</t>
  </si>
  <si>
    <t>University of Zaragoza; Universidad de Concepcion; Instituto Nacional de Tecnologia Agropecuaria (INTA)</t>
  </si>
  <si>
    <t>Estrada-Peña, A (corresponding author), Univ Zaragoza, Fac Vet, Dept Parasitol, Miguel Servet 177, Zaragoza 50013, Spain.</t>
  </si>
  <si>
    <t>Estrada Pena, Agustin/0000-0001-7483-046X</t>
  </si>
  <si>
    <t>ENTOMOL SOC AMER</t>
  </si>
  <si>
    <t>LANHAM</t>
  </si>
  <si>
    <t>9301 ANNAPOLIS RD, LANHAM, MD 20706 USA</t>
  </si>
  <si>
    <t>0022-2585</t>
  </si>
  <si>
    <t>J MED ENTOMOL</t>
  </si>
  <si>
    <t>J. Med. Entomol.</t>
  </si>
  <si>
    <t>10.1603/0022-2585-40.6.766</t>
  </si>
  <si>
    <t>Entomology; Veterinary Sciences</t>
  </si>
  <si>
    <t>764DE</t>
  </si>
  <si>
    <t>WOS:000188185400006</t>
  </si>
  <si>
    <t>Eastman, JT; Lannoo, MJ</t>
  </si>
  <si>
    <t>Diversification of brain and sense organ morphology in antarctic dragonfishes (Perciformes: Notothenioidei: Athydraconidae)</t>
  </si>
  <si>
    <t>JOURNAL OF MORPHOLOGY</t>
  </si>
  <si>
    <t>brain histology; retinal histology; cephalic lateral line system; saccular otolith</t>
  </si>
  <si>
    <t>LATERAL-LINE RECEPTORS; OCULAR MORPHOLOGY; FISH FAUNA; EVOLUTION; SEA; BATHYDRACONIDAE; RADIATION; ANATOMY; PISCES; PHYLOGENY</t>
  </si>
  <si>
    <t>In the subzero shelf waters of Antarctica, fishes of the perciform suborder Notothemoidei dominate the fish fauna and constitute an adaptive radiation and a species flock. The 16 species of dragonfishes of the family Bathydraconidae live from surface waters to nearly 3,000 in and have the greatest overall depth range among notothenioid families. We examined the anatomy and histology of the brain, retina, and cephalic lateral line system of nine bathydraconid species representing 8 of the 11 known genera. We evaluate these data against a cladogram identifying three clades in the family. We provide a detailed drawing of the brain and cranial nerves of Gymnodraco acuticeps and Akarotaxis nudiceps. Bathydraconid brain morphology falls into two categories. Brains of most species are similar to those of generalized perciforms and some basal notothenioids (Class 1). However, brains of deep-living bathydraconids (members of the tribe Bathydraconini minus Prionodraco) have a reduced telencephalon and tectum that renders the neural axis visible - the stalked brain morphology (Class 11). All bathydraconids have duplex (rod and cone) retinae but there is considerable interspecific variation in the ratio of cones:rods and in the number of cells in the internal nuclear layer. Retinal histology reflects habitat depth but is not tightly coupled to phylogeny. Although the deep-living species of Bathydraconini have rod-dominated retinae, the retinae of some sister species are photopic. An expanded cephalic lateral line system is also characteristic of all members of the Bathydraconini as exemplified by Akarotaxis. This morphology includes large lateral line pores, wide membranous canals, hypertrophied canal neuromasts, and large anterodorsal lateral line nerves, eminentia granulares, and crista cerebellares. The saccular otoliths are also enlarged in members of this tribe. Neural diversification among bathydraconids on the Antarctic shelf has not involved the evolution of sensory specialists. Brain and sense organ morphologies do not approach the specialized condition seen in primary deep-sea fishes or even that of some secondary deep-sea fishes including sympatric non-notothenioids such as liparids (snailfishes) and muraenolepidids (eel cods). The brains and sense organs of bathydraconids, including the deep-living species, reflect their heritage as perciform shorefishes. J. Morphol. 258:130-150, 2003. (C) 2003 Wiley-Liss, Inc.</t>
  </si>
  <si>
    <t>Ohio Univ, Coll Osteopath Med, Dept Biomed Sci, Athens, OH 45701 USA; Ball State Univ, Indiana Univ Sch Med, Muncie Ctr Med Educ, Muncie, IN 47306 USA</t>
  </si>
  <si>
    <t>University System of Ohio; Ohio University; Indiana University Health; IU Health Ball Memorial Hospital; Ball State University</t>
  </si>
  <si>
    <t>Ohio Univ, Coll Osteopath Med, Dept Biomed Sci, Athens, OH 45701 USA.</t>
  </si>
  <si>
    <t>eastman@ohiou.edu</t>
  </si>
  <si>
    <t>Eastman, Joseph T/A-9786-2008; Eastman, Joseph T./O-6150-2019</t>
  </si>
  <si>
    <t>Eastman, Joseph T./0000-0003-3868-261X</t>
  </si>
  <si>
    <t>NINDS NIH HHS [NS37600-01] Funding Source: Medline</t>
  </si>
  <si>
    <t>NINDS NIH HHS(United States Department of Health &amp; Human ServicesNational Institutes of Health (NIH) - USANIH National Institute of Neurological Disorders &amp; Stroke (NINDS))</t>
  </si>
  <si>
    <t>0362-2525</t>
  </si>
  <si>
    <t>1097-4687</t>
  </si>
  <si>
    <t>J MORPHOL</t>
  </si>
  <si>
    <t>J. Morphol.</t>
  </si>
  <si>
    <t>10.1002/jmor.10140</t>
  </si>
  <si>
    <t>Anatomy &amp; Morphology</t>
  </si>
  <si>
    <t>731XA</t>
  </si>
  <si>
    <t>WOS:000185910700002</t>
  </si>
  <si>
    <t>Gavagnin, M; Mollo, E; Castelluccio, F; Crispino, A</t>
  </si>
  <si>
    <t>Sesquiterpene metabolites of the antarctic gorgonian Dasystenella acanthina</t>
  </si>
  <si>
    <t>JOURNAL OF NATURAL PRODUCTS</t>
  </si>
  <si>
    <t>CHEMICAL DEFENSE; SOFT CORALS; COELENTERATA; CHEMISTRY</t>
  </si>
  <si>
    <t>The ethereal extract of the Antarctic gorgonian Dasystenella acanthina was found to contain three main nonpolar and relatively transient sesquiterpene metabolites (1-3), which were isolated and submitted to spectral analysis. Two of them were identified as the previously reported compounds trans-beta-farnesene (1) and isofuranodiene (3), whereas the third metabolite, the furanoeudesmane 2, was unknown. The structure elucidation of this new sesquiterpene was solved mainly on the basis of its spectral properties and correlation with known compounds.</t>
  </si>
  <si>
    <t>Ist Chim Biomol, CNR, I-80078 Pozzuoli, NA, Italy</t>
  </si>
  <si>
    <t>Ist Chim Biomol, CNR, Via Campi Flegrei 34, I-80078 Pozzuoli, NA, Italy.</t>
  </si>
  <si>
    <t>mgavagnin@icmib.na.enr.it</t>
  </si>
  <si>
    <t>Gavagnin, Margherita/B-4584-2012; Mollo, Ernesto/F-7842-2013</t>
  </si>
  <si>
    <t>Mollo, Ernesto/0000-0001-7379-1788</t>
  </si>
  <si>
    <t>0163-3864</t>
  </si>
  <si>
    <t>1520-6025</t>
  </si>
  <si>
    <t>J NAT PROD</t>
  </si>
  <si>
    <t>J. Nat. Prod.</t>
  </si>
  <si>
    <t>10.1021/np030201r</t>
  </si>
  <si>
    <t>Plant Sciences; Chemistry, Medicinal; Pharmacology &amp; Pharmacy</t>
  </si>
  <si>
    <t>Plant Sciences; Pharmacology &amp; Pharmacy</t>
  </si>
  <si>
    <t>749GW</t>
  </si>
  <si>
    <t>WOS:000186912400025</t>
  </si>
  <si>
    <t>Lazo, DG</t>
  </si>
  <si>
    <t>The genus Steinmanella (Bivalvia, Trigonioida) in the lower member of the Agrio Formation (Lower Cretaceous), Neuquen Basin, Argentina</t>
  </si>
  <si>
    <t>JOURNAL OF PALEONTOLOGY</t>
  </si>
  <si>
    <t>ANTARCTIC PENINSULA; AMMONITES; SYSTEMATICS; HABITS</t>
  </si>
  <si>
    <t>Myophorellid bivalves (Trigonioida, Myophorellacea) with conspicuously tuberculate shells are abundant in Lower Cretaceous rocks of the Neuquen Basin represented by the Gondwanian genus Steinmanella Crickmay, 1930. Publications concerning Neuquen trigonioids deal only with taxonomy, and until now the sedimentary environments of the Steinmanella bearing facies have not been interpreted. The present study analyzes morphology, taxonomy, stratigraphy, and paleobiology of Steinmanella species collected from five sections of the Lower Member of the Agrio Formation, including the type locality. Two species are differentiated: Steinmanella pehuenmapuensis (Leanza, 1998) from the lower part of the member (Pseudofavrella angulatiformis Zone) and Steinmanella transitoria (Steinmann, 1881) from the middle and upper part of the member (Holcoptychites neuquensis, Hoplitocrioceras gentilii, and Weavericeras vacaensis Zones). Specimens of both species have been recorded in intermediate to high-energy shoreface and low-energy offshore deposits. The inferred paleoecologic model is that Steinmanella lived semi-infaunally and burrowed on sandy substrates in the shoreface and on muddy substrates in the offshore. Colonization of low-energy subenvironments in the offshore probably occurred during increased sea-floor oxygenation and reduced net sedimentation or brief omission periods.</t>
  </si>
  <si>
    <t>Univ Buenos Aires, CONICET, Dept Ciencias Geol, RA-1428 Buenos Aires, DF, Argentina</t>
  </si>
  <si>
    <t>Lazo, DG (corresponding author), Univ Buenos Aires, CONICET, Dept Ciencias Geol, Ciudad Univ, RA-1428 Buenos Aires, DF, Argentina.</t>
  </si>
  <si>
    <t>dlazo@gl.fcen.uba.ar</t>
  </si>
  <si>
    <t>Lazo, Dario G./AAT-9498-2021</t>
  </si>
  <si>
    <t>Lazo, Dario G./0000-0002-8270-1577</t>
  </si>
  <si>
    <t>0022-3360</t>
  </si>
  <si>
    <t>1937-2337</t>
  </si>
  <si>
    <t>J PALEONTOL</t>
  </si>
  <si>
    <t>J. Paleontol.</t>
  </si>
  <si>
    <t>10.1666/0022-3360(2003)077&lt;1069:TGSBTI&gt;2.0.CO;2</t>
  </si>
  <si>
    <t>744PN</t>
  </si>
  <si>
    <t>WOS:000186641000004</t>
  </si>
  <si>
    <t>Price, RC; Cooper, AF; Woodhead, JD; Cartwright, I</t>
  </si>
  <si>
    <t>Phonolitic diatremes within the Dunedin Volcano, South Island, New Zealand</t>
  </si>
  <si>
    <t>JOURNAL OF PETROLOGY</t>
  </si>
  <si>
    <t>phonolite; diatreme; nepheline syenite; Dunedin Volcano; alkalic rocks; fractional crystallization</t>
  </si>
  <si>
    <t>LAACHER SEE TEPHRA; CARBON-DIOXIDE; FRACTIONAL CRYSTALLIZATION; ILIMAUSSAQ INTRUSION; NEPHELINE SYENITES; FLOOD PHONOLITES; PACIFIC-OCEAN; EAST OTAGO; GEOCHEMISTRY; PETROGENESIS</t>
  </si>
  <si>
    <t>The Port Chalmers Breccia is a vent-filling, clastic volcanic unit exposed within the Miocene Dunedin Volcano of South Island, New Zealand. Clasts (up to in excess of 1 m but generally &lt;20 cm) are supported in ash and fine lapilli of phonolitic (ne-benmoreite or tephro-phonolite) composition and the dominant clast type (55 to almost 100%) is also phonolitic. Less abundant lithologies include ne-normative basalt (basanite), hawaiite, mugearite and trachyandesite, syenites and microsyenites, coarse-grained mafic (gabbros) and ultramafic rocks (pyroxenites, hornblendites), schists and sediments. The breccias were emplaced as diatremes associated with localized, but highly explosive, eruptive events in which mantle-derived CO2 was an important component. The syenitic and ultramafic clasts could represent intrusive suites produced by crystal fractionation acting on parental ne-benmoreite magmas that may themselves have been derived by crystal fractionation from basanitic precursors. An alternative variation on this model is that the parental ne-benmoreites were generated through partial melting of an alkalic igneous underplate. Sr, Nd and Pb isotopic compositions are strikingly similar to those of intraplate igneous rocks, ranging in age from 100 to less than 10 Ma, from elsewhere in the South Island, and New Zealand's sub-Antarctic islands, the south Tasman Sea and the Ross Sea region. This regional, HIMU-influenced, isotopic signature is believed to be derived from within the lithospheric mantle.</t>
  </si>
  <si>
    <t>Univ Waikato, Sch Sci &amp; Technol, Hamilton, New Zealand; Univ Otago, Dept Geol, Dunedin, New Zealand; Univ Melbourne, Sch Earth Sci, Parkville, Vic 3010, Australia; Monash Univ, Sch Geosci, Clayton, Vic 3800, Australia</t>
  </si>
  <si>
    <t>University of Waikato; University of Otago; University of Melbourne; Monash University</t>
  </si>
  <si>
    <t>Price, RC (corresponding author), Univ Waikato, Sch Sci &amp; Technol, Private Bag 3105, Hamilton, New Zealand.</t>
  </si>
  <si>
    <t>Woodhead, Jon/C-2227-2012; Cartwright, Ian/J-8549-2016</t>
  </si>
  <si>
    <t>Woodhead, Jon/0000-0002-7614-0136; Cartwright, Ian/0000-0001-5300-4716</t>
  </si>
  <si>
    <t>0022-3530</t>
  </si>
  <si>
    <t>J PETROL</t>
  </si>
  <si>
    <t>J. Petrol.</t>
  </si>
  <si>
    <t>10.1093/petrology/egg070</t>
  </si>
  <si>
    <t>741EG</t>
  </si>
  <si>
    <t>WOS:000186445300006</t>
  </si>
  <si>
    <t>Marshall, J; Radko, T</t>
  </si>
  <si>
    <t>Residual-mean solutions for the Antarctic Circumpolar Current and its associated overturning circulation</t>
  </si>
  <si>
    <t>MOMENTUM BALANCE; SOUTHERN-OCEAN; EDDY TRANSFER; TRANSPORT; EDDIES; STRATIFICATION; DYNAMICS; HEAT; FLUX; ACC</t>
  </si>
  <si>
    <t>Residual-mean theory is applied to the streamwise-averaged Antarctic Circumpolar Current to arrive at a concise description of the processes that set up its stratification and meridional overturning circulation on an f plane. Simple solutions are found in which transfer by geostrophic eddies colludes with applied winds and buoyancy fluxes to determine the depth and stratification of the thermocline and the pattern of associated (residual) meridional overturning circulation.</t>
  </si>
  <si>
    <t>MIT, Dept Earth Atmospher &amp; Planetary Sci, Rm 54-1526,77 Massachusetts Ave, Cambridge, MA 02139 USA.</t>
  </si>
  <si>
    <t>marshall@gulf.mit.edu</t>
  </si>
  <si>
    <t>10.1175/1520-0485(2003)033&lt;2341:RSFTAC&gt;2.0.CO;2</t>
  </si>
  <si>
    <t>735GF</t>
  </si>
  <si>
    <t>WOS:000186103500010</t>
  </si>
  <si>
    <t>Willan, RCR</t>
  </si>
  <si>
    <t>Provenance of Triassic-Cretaceous sandstones in the Antarctic Peninsula: Implications for terrane models during Gondwana breakup</t>
  </si>
  <si>
    <t>JOURNAL OF SEDIMENTARY RESEARCH</t>
  </si>
  <si>
    <t>EASTERN PALMER LAND; MARIE BYRD LAND; PLATE-TECTONICS; PACIFIC MARGIN; ACCRETIONARY COMPLEX; CRUSTAL EVOLUTION; SILICIC VOLCANISM; WEST ANTARCTICA; DETRITAL MODES; ELLSWORTH LAND</t>
  </si>
  <si>
    <t>The Antarctic Peninsula is the largest of similar to twelve microcontinental fragments between southern South America, East Antarctica, and New Zealand. Their original positions and movement history following Gondwana breakup are poorly constrained. Recent work on the Antarctic Peninsula fore-arc/arc/back-arc suggests it consists of two suspect terranes that originated elsewhere and collided with the Pacific margin of Gondwana in the Cretaceous. This study reviews provenance models for three laterally extensive, kilometers-thick sedimentary units in the Antarctic Peninsula using previous studies, and new sandstone detrital modes and chemistry. 1) The Trinity Peninsula Group accretionary complex (Triassic) was possibly derived from a glaciated continental margin and may consist of several accreted tracts. The deformed, quartzose View Point and Legoupil formations were eroded from a deeply eroded, stable continental margin containing an old arc and mature quartzose sandstones, with provenance ages suggesting sources in north Patagonia and local Antarctic Peninsula basement. The weakly deformed and more feldspathic Hope Bay Formation was derived from an eroded arc, possibly the early Permian arc of the North Patagonian massif. 2) The LeMay Group accretionary complex (middle Triassic-middle Cretaceous) is dominated by arkoses derived from an eroded continental margin of Carboniferous and Permian age, possibly in the Marie Byrd Land sector, with several belts of volcanilithic sandstones representing episodes of arc magmatism. The youngest part of the LeMay Group contains abundant metamorphic detritus derived from basement uplifted during mid-Cretaceous terrane docking. 3) The Latady Formation in the southern Antarctic Peninsula has a completely different petrology, comprising mature sublitharenites (similar to 190 Ma) of Gondwanan provenance, deposited in restricted rift basins. Younger volcanic litharenites (180 Ma) are dominated by REE-enriched low Eu/Eu* rhyolitic material, eroded from silicic calderas associated with Gondwana breakup. Abundant dacitic to andesitic detritus in the youngest LF (160-145 Ma) was derived from a contemporaneous arc, possibly on the Thurston Island block, as the Latady evolved into a back-arc basin.</t>
  </si>
  <si>
    <t>British Antarctic Survey, NERC, Geol Sci Div, Cambridge CB3 0ET, England</t>
  </si>
  <si>
    <t>British Antarctic Survey, NERC, Geol Sci Div, Madingley Rd, Cambridge CB3 0ET, England.</t>
  </si>
  <si>
    <t>r.willan@bas.ac.uk</t>
  </si>
  <si>
    <t>SEPM-SOC SEDIMENTARY GEOLOGY</t>
  </si>
  <si>
    <t>TULSA</t>
  </si>
  <si>
    <t>6128 EAST 38TH ST, STE 308, TULSA, OK 74135-5814 USA</t>
  </si>
  <si>
    <t>1527-1404</t>
  </si>
  <si>
    <t>1938-3681</t>
  </si>
  <si>
    <t>J SEDIMENT RES</t>
  </si>
  <si>
    <t>J. Sediment. Res.</t>
  </si>
  <si>
    <t>10.1306/050103731062</t>
  </si>
  <si>
    <t>739ZA</t>
  </si>
  <si>
    <t>WOS:000186375400016</t>
  </si>
  <si>
    <t>Nichols, PD; Danaher, KT; Koslow, JA</t>
  </si>
  <si>
    <t>Occurrence of high levels of tetracosahexaenoic acid in the jellyfish Aurelia sp.</t>
  </si>
  <si>
    <t>LIPIDS</t>
  </si>
  <si>
    <t>FATTY-ACIDS; ALL-CIS-6,9,12,15,18,21-TETRACOSAHEXAENOIC ACID; TRANS-6-HEXADECENOIC ACID; ANTARCTIC ZOOPLANKTON; JASUS-EDWARDSII; NEW-ZEALAND; LIPIDS; LOBSTER; OPHIUROIDEA; AURITA</t>
  </si>
  <si>
    <t>The FA composition of the pelagic jellyfish Aurelia sp. collected from off-shore Western Australia waters was determined by capillary GC and GC-MS, with confirmation of PUFA structure performed by analysis of 4,4-dimethyloxazoline derivatives. PUFA constituted 47.6% of the total FA, with the essential PUFA eicosapentaenoic acid (EPA), arachidonic acid, and DHA accounting for 34%. Of particular interest, the unusual very long chain PUFA 6,9,12,15,18,21 -tetracosahexaenoic acid (THA, 24:6n-3) was present at 9.3%, and the rarely reported 6,9,12,15,18-tetracosapentaenoic acid (24:5n-6) also was detected at 0.8%. To our knowledge, this represents the first report of THA as a major PUFA in a pelagic marine organism.</t>
  </si>
  <si>
    <t>CSIRO, Commonwealth Sci &amp; Ind Res Org, Hobart, Tas 7000, Australia; James Cook Univ N Queensland, Sch Marine Biol &amp; Aquaculture, Townsville, Qld 4811, Australia; CSIRO, Floreat, WA, Australia</t>
  </si>
  <si>
    <t>Commonwealth Scientific &amp; Industrial Research Organisation (CSIRO); James Cook University; Commonwealth Scientific &amp; Industrial Research Organisation (CSIRO)</t>
  </si>
  <si>
    <t>Nichols, PD (corresponding author), CSIRO, Commonwealth Sci &amp; Ind Res Org, GPO Box 1538, Hobart, Tas 7000, Australia.</t>
  </si>
  <si>
    <t>Nichols, Peter D/C-5128-2011</t>
  </si>
  <si>
    <t>AMER OIL CHEMISTS SOC A O C S PRESS</t>
  </si>
  <si>
    <t>CHAMPAIGN</t>
  </si>
  <si>
    <t>1608 BROADMOOR DRIVE, CHAMPAIGN, IL 61821-0489 USA</t>
  </si>
  <si>
    <t>0024-4201</t>
  </si>
  <si>
    <t>Lipids</t>
  </si>
  <si>
    <t>10.1007/s11745-003-1180-z</t>
  </si>
  <si>
    <t>Biochemistry &amp; Molecular Biology; Nutrition &amp; Dietetics</t>
  </si>
  <si>
    <t>756WK</t>
  </si>
  <si>
    <t>WOS:000187507400013</t>
  </si>
  <si>
    <t>Quetin, LB; Ross, RM; Frazer, TK; Amsler, MO; Wyatt-Evens, C; Oakes, SA</t>
  </si>
  <si>
    <t>Growth of larval krill, Euphausia superba, in fall and winter west of the Antarctic Peninsula</t>
  </si>
  <si>
    <t>OVARIAN DEVELOPMENT; SEASONAL GROWTH; DANA; ICE; SEA; TEMPERATURE; PHOTOPERIOD; AVAILABILITY; ABUNDANCE; BEHAVIOR</t>
  </si>
  <si>
    <t>A quantitative characterization of growth-related parameters for larval and juvenile Antarctic krill, Euphausia superba (Dana), is essential to understanding the early life history of this key species in the Southern Ocean ecosystem. To this end, instantaneous growth rate experiments were conducted with larval and juvenile krill to determine growth increments and molting frequency in situ. All experiments were carried out during fall and winter months (April through September) on nine separate cruises west of the Antarctic Peninsula between 1987 and 1999. A consistent seasonal pattern across years was observed: growth rates decreased during fall (April/May), were minimal in early winter (June), and increased to maximum rates by late winter (September). Habitat-specific differences (water column vs under-ice) in growth rates of larvae collected on the same cruise were not observed in early winter (June 1993; within-year comparison). However, in a between-year comparison, larvae from the under-ice habitat (June/July 1987) had significantly higher growth increments than larvae from the open-water habitat (July 1989). The difference between these two comparisons may be a function of the degree of contrast in food availability in the water column and the sea ice at different times in the winter. Daylength at the time of collection explained 74% of the variation in larval and juvenile growth rates. This correlation may be an indirect effect of the influence of diel cycles on krill behavior and/or primary production in both the water column and ice.</t>
  </si>
  <si>
    <t>Univ Calif Santa Barbara, Inst Marine Sci, Santa Barbara, CA 93106 USA; Univ Florida, Dept Fisheries &amp; Aquat Sci, Gainesville, FL 32653 USA; Univ Alabama, Dept Biol, Birmingham, AL 35294 USA</t>
  </si>
  <si>
    <t>University of California System; University of California Santa Barbara; State University System of Florida; University of Florida; University of Alabama System; University of Alabama Birmingham</t>
  </si>
  <si>
    <t>Quetin, LB (corresponding author), Univ Calif Santa Barbara, Inst Marine Sci, Santa Barbara, CA 93106 USA.</t>
  </si>
  <si>
    <t>10.1007/s00227-003-1130-8</t>
  </si>
  <si>
    <t>741NH</t>
  </si>
  <si>
    <t>WOS:000186463800001</t>
  </si>
  <si>
    <t>Large ozone hole forming over the Antarctic</t>
  </si>
  <si>
    <t>748GK</t>
  </si>
  <si>
    <t>WOS:000186854000009</t>
  </si>
  <si>
    <t>Matrajt, G; Taylor, S; Flynn, G; Brownlee, D; Joswiak, D</t>
  </si>
  <si>
    <t>A nuclear microprobe study of the distribution and concentration of carbon and nitrogen in Murchison and Tagish Lake meteorites, Antarctic micrometeorites, and IDPs: Implications for astrobiology</t>
  </si>
  <si>
    <t>POLYCYCLIC AROMATIC-HYDROCARBONS; INTERPLANETARY DUST PARTICLES; MACROMOLECULAR ORGANIC-MATTER; ISOTOPIC COMPOSITION; ACCRETION RATE; ATMOSPHERIC ENTRY; COSMIC SPHERULES; ORIGIN; DELIVERY; ABUNDANCES</t>
  </si>
  <si>
    <t>Using a nuclear microprobe, we measured the carbon and nitrogen concentrations and distributions in several interplanetary dust particles (IDPs) and Antarctic micrometeorites (MMs), and compared them to 2 carbonaceous chondrites: Tagish Lake and Murchison. We observed that IDPs are richest in both elements. All the MMs studied contain carbon, and all but the coarse-grained and I melted MM contained nitrogen. We also observed a correlation in the distribution of carbon and nitrogen, suggesting that they may be held in an organic material. The implications for astrobiology of these results are discussed, as small extraterrestrial particles could have contributed to the origin of life on Earth by delivering important quantities of these 2 bio-elements to the Earth's surface and their gas counterparts, CO2 and N-2, to the early atmosphere.</t>
  </si>
  <si>
    <t>Univ Washington, Dept Astron, Seattle, WA 98195 USA; USA, Cold Reg Res &amp; Engn Lab, Lebanon, NH 03766 USA; SUNY Coll Plattsburgh, Dept Phys, Plattsburgh, NY 12901 USA; Univ Paris 11, IAS, F-91405 Orsay, France; Univ Paris 11, CSNSM, F-91405 Orsay, France</t>
  </si>
  <si>
    <t>University of Washington; University of Washington Seattle; United States Department of Defense; United States Army; U.S. Army Corps of Engineers; U.S. Army Engineer Research &amp; Development Center (ERDC); Cold Regions Research &amp; Engineering Laboratory (CRREL); State University of New York (SUNY) System; SUNY Plattsburgh; Universite Paris Saclay; Universite Paris Saclay</t>
  </si>
  <si>
    <t>Univ Washington, Dept Astron, Seattle, WA 98195 USA.</t>
  </si>
  <si>
    <t>graciela.matrajt@ias.u-psud.fr</t>
  </si>
  <si>
    <t>Matrajt, Graciela/A-4812-2017</t>
  </si>
  <si>
    <t>10.1111/j.1945-5100.2003.tb00003.x</t>
  </si>
  <si>
    <t>766QG</t>
  </si>
  <si>
    <t>WOS:000188386600003</t>
  </si>
  <si>
    <t>Osawa, T; Nakamura, T; Nagao, K</t>
  </si>
  <si>
    <t>Noble gas isotopes and mineral assemblages of Antarctic micrometeorites collected at the meteorite ice field around the Yamato Mountains</t>
  </si>
  <si>
    <t>INTERPLANETARY DUST PARTICLES; SOLAR ENERGETIC PARTICLES; THERMAL TRANSFORMATION; ORDINARY CHONDRITES; ATMOSPHERIC ENTRY; LUNAR ILMENITES; PARENT BODIES; TAGISH LAKE; EXCESS HE-3; BLUE ICE</t>
  </si>
  <si>
    <t>From November 1998 to January 1999, the 39th Japanese Antarctic Research Expedition (JARE) conducted a large-scale micrometeorite collection at 3 areas in the meteorite ice field around the Yamato Mountains, Antarctica. The Antarctic micrometeorites (AMMs) collected were ancient cosmic dust particles. This is in contrast with the Dome Fuji AMMs, which were collected previously from fresh snows in 1996 and 1997 and which represent modem micrometeorites. To determine the noble gas concentrations and isotopic compositions of individual AMMs, noble gas analyses were carried out using laser-gas extraction for 35 unmelted Yamato Mountains AMMs and 3 cosmic spherules. X-ray diffraction analyses were performed on 13 AMMs before the noble gas measurement and mineral compositions were determined. AMMs are classified into 4 main mineralogical groups, defined from the heating they suffered during atmospheric entry. Heating temperatures of AMMs, inferred from their mineral compositions, are correlated with (4)He concentrations and reflect the effect of degassing during atmospheric entry. Jarosite, an aqueous alteration product, is detected for 4 AMMs, indicating the aqueous alteration during long-time storage in Antarctic ice. Jarosite-bearing AMMs have relatively low concentrations of (4)He, which is suggestive of loss during the alteration. High (3)He/(4)He ratios are detected for AMMs with high (20)Ne/(4)He ratios, showing both cosmogenic (3)He and preferential He loss. SEP (solar energetic particles)-He and Ne, rather than the solar wind (SW), were dominant in AMMs, presumably showing a preferential removal of the more shallowly implanted SW by atmospheric entry heating. The mean (20)Ne/(22)Ne ratio is 11.27 +/- 0.35, which is close to the SEP value of 11.2. Cosmogenic (21)Ne is not detected in any of the particles, which is probably due to the short cosmic ray exposure ages. Ar isotopic compositions are explained by 3-component mixing of air, Q, and SEP-Ar. Ar isotopic compositions can not be explained without significant contributions of Q-Ar. SEP-Ne contributed more than 99% of the total Ne. As for (36)Ar and (38)Ar, the abundance of the Q component is comparable to that of the SEP component. (84)Kr and (132)Xe are dominated by the primordial component, and solar-derived Xe is almost negligible.</t>
  </si>
  <si>
    <t>Univ Tokyo, Grad Sch Sci, Earthquake Chem Lab, Tokyo 1130033, Japan; Kyushu Univ, Fac Sci, Dept Earth &amp; Planetary Sci, Fukuoka 8128581, Japan</t>
  </si>
  <si>
    <t>University of Tokyo; Kyushu University</t>
  </si>
  <si>
    <t>Osawa, T (corresponding author), Univ Tokyo, Grad Sch Sci, Earthquake Chem Lab, Tokyo 1130033, Japan.</t>
  </si>
  <si>
    <t>osawa@eqchem.s.u-tokyo.ac.jp</t>
  </si>
  <si>
    <t>10.1111/j.1945-5100.2003.tb00005.x</t>
  </si>
  <si>
    <t>WOS:000188386600005</t>
  </si>
  <si>
    <t>Cheng, CHC; Chen, LB; Near, TJ; Jin, YM</t>
  </si>
  <si>
    <t>Functional antifreeze glycoprotein genes in temperate-water New Zealand nototheniid fish infer an antarctic evolutionary origin</t>
  </si>
  <si>
    <t>MOLECULAR BIOLOGY AND EVOLUTION</t>
  </si>
  <si>
    <t>AFGP gene; non-Antarctic notothenioids; South American nototheniids; evolution; biogeography</t>
  </si>
  <si>
    <t>MITOCHONDRIAL; GLYCOPEPTIDES; PHYLOGENY; OCEAN; COD</t>
  </si>
  <si>
    <t>The fish fauna of the Antarctic Ocean is dominated by five endemic families of the Perciform suborder Notothenioidei, thought to have arisen in situ within the Antarctic through adaptive radiation of an ancestral stock that evolved antifreeze glycoproteins (AFGPs) enabling survival as the ocean chilled to subzero temperatures. The endemism results from geographic confinement imposed by a massive oceanographic barrier, the Antarctic Circumpolar Current, which also thermally isolated Antarctica over geologic time, leading to its current frigid condition. Despite this voluminous barrier to fish dispersal, a number of species from the Antarctic family Nototheniidae now inhabit the nonfreezing cool temperate coasts of the southern continents. The origin of these temperate-water nototheniids is not completely understood. Since the AFGP gene apparently evolved only once, before the Antarctic notothenioid radiation, the presence of AFGP genes in extant temperate-water nototheniids can be used to infer an Antarctic evolutionary origin. Genomic Southern analysis, PCR amplification of AFGP genes, and sequencing showed that Notothenia angustata and Notothenia microlepidota endemic to southern New Zealand have two to three AFGP genes, structurally the same as those of the Antarctic nototheniids. At least one of these genes is still functional, as AFGP cDNAs were obtained and low levels of mature AFGPs were detected in the blood. A phylogenetic tree based on complete ND2 coding sequences showed monophyly of these two New Zealand nototheniids and their inclusion in the monophyletic Nototheniidae consisted of mostly AFGP-bearing taxa. These analyses support an Antarctic ancestry for the New Zealand nototheniids. A divergence time of approximately 11 Myr was estimated for the two New Zealand nototheniids, approximating the upper Miocene northern advance of the Antarctic Convergence over New Zealand, which might have served as the vicariant event that lead to the northward dispersal of their most recent common ancestor. Similar secondary northward dispersal likely applies to the South American nototheniid Paranotothenia magellanica, which has four AFGP genes in its DNA, but not to the sympatric nototheniid Patagonotothen tessellata, which does not appear to have any AFGP sequences in its genome at all.</t>
  </si>
  <si>
    <t>Univ Illinois, Dept Anim Biol, Urbana, IL 61801 USA; Chinese Acad Sci, Dept Genet &amp; Dev Biol, Beijing, Peoples R China; Univ Calif Davis, Ctr Populat Biol, Davis, CA 95616 USA</t>
  </si>
  <si>
    <t>University of Illinois System; University of Illinois Urbana-Champaign; Chinese Academy of Sciences; University of California System; University of California Davis</t>
  </si>
  <si>
    <t>Cheng, CHC (corresponding author), Univ Illinois, Dept Anim Biol, Urbana, IL 61801 USA.</t>
  </si>
  <si>
    <t>Near, Thomas J./0000-0002-7398-6670; , liangbiao/0000-0002-0717-8536</t>
  </si>
  <si>
    <t>0737-4038</t>
  </si>
  <si>
    <t>MOL BIOL EVOL</t>
  </si>
  <si>
    <t>Mol. Biol. Evol.</t>
  </si>
  <si>
    <t>10.1093/molbev/msg208</t>
  </si>
  <si>
    <t>744FX</t>
  </si>
  <si>
    <t>WOS:000186618200018</t>
  </si>
  <si>
    <t>Micheletti, MI; Cede, A; Piacentini, RD; Wolfram, E; Pazmiño, A; Quel, E; Godin, S; Mégie, G</t>
  </si>
  <si>
    <t>Solar erythemal irradiance and ozone profile at Buenos Aires and inside and outside the ozone hole at Marambio Argentine Antarctic Base</t>
  </si>
  <si>
    <t>NUOVO CIMENTO DELLA SOCIETA ITALIANA DI FISICA C-COLLOQUIA ON PHYSICS</t>
  </si>
  <si>
    <t>UV; SURFACE</t>
  </si>
  <si>
    <t>Solar erythemal irradiance (directly related to the UV index) has been measured in Buenos Aires, Argentina, the largest populated city of the country. Similar data have also been obtained at Marambio Argentine Antarctic Base inside and outside the ozone hole region. In the latter case, the largest UV index during the 1996-1999 period, of value 10.2, is 22% lower than the corresponding one for Buenos Aires. However near its maximum, the integrated daily dose, which is of importance in the evaluation of the accumulated dose along a given period, is rather similar in both places. We thus propose to use also this quantity for solar risk forecast at high latitudes. Ozone profile data for Buenos Aires and Marambio Base are presented, as well as time series of erythemal irradiance and ozone total column. Ozone profiles have been determined using the differential absorption lidar technique (DIAL) in Buenos Aires during periods near maximum and minimum of ozone total column and near the maximum of solar intensity. Model calculations of the erythemal irradiance are done, incorporating these profiles as well as those commonly used in this type of analysis. The influence of different atmospheric parameters as well as of the ground albedo on the erythemal irradiance has been tested.</t>
  </si>
  <si>
    <t>Univ Nacl Rosario, CONICET, Inst Fis Rosario, RA-2000 Rosario, Argentina; Univ Nacl Rosario, Fac Ciencias Bioquim &amp; Farmaceut, RA-2000 Rosario, Argentina; Univ Innsbruck, Inst Med Phys, A-6020 Innsbruck, Austria; Univ Nacl Rosario, Fac Ciencias Exactas Ingn &amp; Agrimensura, RA-2000 Rosario, Argentina; Consejo Nacl Invest Cient &amp; Tecn, CITEFA, Buenos Aires, DF, Argentina; Univ Paris 06, Serv Aeron, Paris, France</t>
  </si>
  <si>
    <t>Consejo Nacional de Investigaciones Cientificas y Tecnicas (CONICET); National University of Rosario; National University of Rosario; University of Innsbruck; National University of Rosario; Consejo Nacional de Investigaciones Cientificas y Tecnicas (CONICET); Sorbonne Universite</t>
  </si>
  <si>
    <t>Micheletti, MI (corresponding author), Univ Nacl Rosario, CONICET, Inst Fis Rosario, 27 Febrereo,210bis, RA-2000 Rosario, Argentina.</t>
  </si>
  <si>
    <t>SOC ITALIANA FISICA</t>
  </si>
  <si>
    <t>VIA SARAGOZZA, 12, I-40123 BOLOGNA, ITALY</t>
  </si>
  <si>
    <t>1124-1896</t>
  </si>
  <si>
    <t>NUOVO CIMENTO C</t>
  </si>
  <si>
    <t>Nuovo Cimento Soc. Ital. Fis. C-Colloq. Phys.</t>
  </si>
  <si>
    <t>10.1393/ncc/i2002-10007-1</t>
  </si>
  <si>
    <t>832UX</t>
  </si>
  <si>
    <t>WOS:000222293900002</t>
  </si>
  <si>
    <t>Zakharchuk, EA; Petushkov, SA</t>
  </si>
  <si>
    <t>Low-frequency baroclinic Kelvin waves over the continental slope in the region of the New Siberian Islands</t>
  </si>
  <si>
    <t>SEA; CANYON</t>
  </si>
  <si>
    <t>The synoptic-scale variability of currents at various depths are studied. using three moorings deployed over the continental slope in the region of the New Siberian Islands in 1995-1996. The synoptic-scale perturbations are found to be clearly wavelike. A comparison of the parameters of wave perturbations, obtained with the theoretical dispersion relations for low-frequency waves, indicates that they are close to the characteristics of baroclinic Kelvin waves. An analysis of cross-correlations between the wave perturbations of currents and various meteorological parameters (atmospheric pressure, horizontal gradient of atmospheric pressure, wind, and divergence and curl of wind) shows low maximums of the correlation coefficients. An analysis of daily average baric fields indicates that the most intensive wave current perturbations are generated when the array of moorings is located within the zone of action of atmospheric anticyclones. The anticyclones slowly travel southeastward with a velocity close to the phase velocities of low-frequency waves. It is hypothesized that the wave current perturbations found were caused by a resonance between the fields of atmospheric pressure and wind in traveling anticyclones and free low-frequency baroclinic Kelvin waves.</t>
  </si>
  <si>
    <t>Russian Acad Sci, St Petersburg Branch, State Oceanog Inst, St Petersburg 196140, Russia; Arctic &amp; Antarctic Sci Res Inst, State Sci Ctr, St Petersburg, Russia</t>
  </si>
  <si>
    <t>Russian Academy of Sciences</t>
  </si>
  <si>
    <t>Zakharchuk, EA (corresponding author), Russian Acad Sci, St Petersburg Branch, State Oceanog Inst, St Petersburg 196140, Russia.</t>
  </si>
  <si>
    <t>Zakharchuk, Evgeniy/N-1644-2013</t>
  </si>
  <si>
    <t>Zakharchuk, Evgeniy/0000-0001-6079-5739</t>
  </si>
  <si>
    <t>758RY</t>
  </si>
  <si>
    <t>WOS:000187665000001</t>
  </si>
  <si>
    <t>Ivanov, YA; Lebedev, KV</t>
  </si>
  <si>
    <t>Model studies of the estimate of the contribution of wind-driven currents to the general circulation of the World Ocean</t>
  </si>
  <si>
    <t>AVERAGE ANNUAL CLIMATE; NONSTATIONARY WIND</t>
  </si>
  <si>
    <t>The calculations of barotropic currents caused by tangential wind stress are carried out on the basis of a nonlinear model of the World Ocean. A comparative analysis of the wind-induced barotropic and generales of western baroclinic circulation is carried out. It is shown that on average, about one-half of the discharges of western boundary currents are related to wind-induced currents. In contrast, the transport of the Antarctic Circumpolar Current is mainly determined by thermohaline factors. Seasonal variations in the wind-induced and total baroclinic transports are quasi-in-phase, and their amplitudes are close to each other. A 7-year prognostic calculation of barotropic currents in the World Ocean is carried out on the basis of the daily values of tangential wind stress, which reveals a significant variability of the currents.</t>
  </si>
  <si>
    <t>Russian Acad Sci, PP Shirshov Oceanol Inst, Moscow, Russia</t>
  </si>
  <si>
    <t>Ivanov, YA (corresponding author), Russian Acad Sci, PP Shirshov Oceanol Inst, Moscow, Russia.</t>
  </si>
  <si>
    <t>Lebedev, Konstantin/E-4258-2014</t>
  </si>
  <si>
    <t>Lebedev, Konstantin/0000-0002-3997-203X</t>
  </si>
  <si>
    <t>WOS:000187665000003</t>
  </si>
  <si>
    <t>Voronina, NM</t>
  </si>
  <si>
    <t>The effect of sea ice on the life cycles of mass species of Antarctic copepods in the Weddell Sea</t>
  </si>
  <si>
    <t>CALANOIDES-ACUTUS COPEPODA; CALANUS-PROPINQUUS; RHINCALANUS-GIGAS; SOUTHERN-OCEAN; FEEDING PATTERNS; ATLANTIC SECTOR; FOOD WEB; STRATEGIES; MIGRATION; DYNAMICS</t>
  </si>
  <si>
    <t>The differences in the life cycles of mass copepod species in the waters of the Weddell Sea covered with ice to different degrees are studied. Original and published data are used. The under-ice material was collected in the western part of the sea during the period from March to May 1992 from the Weddell-1 American-Russian drifting station. The water area covered with seasonal ice is characterized by data obtained during expeditions aboard the RN Polarstern. in the southeastern part of the sea in the period from January 1985 to December 1995 [36]. This data is supplemented by the collections taken at a point with the coordinates of 62degrees30' S, 15degrees W during cruise 43 of the RN Dmitrii Mendeleev, in the period from February to April 1989. The four species Calanoides acutus, Calanus propinquus, Rhincalanus gigas, and Metridia gerlachei are examined. The temporal dynamics of the abundance and age structure of the populations of each species living in different biotopes are described. The greatest attention is focused on a discussion of the reasons determining the possibility of the copepods existing under perennial ice. By the end of our observations, the life duration of the plankters examined in this environment was about 20 months. During the roughly 12-13 months (from March-April 1991 to March 1992) of advection along 70degrees S from Cape Norvegia to the southern point of the drifting expedition, the population of the herbivorous species C acutus-which reserves lipids (primarily waxes [39]) and falls in the diapause in the winter-had finished its molt and partially reached sexual maturity, amid the pronounced domination of copepodite stages CV and CVI. In approximately January-February, this population had a short spawning; however, its juveniles died. During its three months of existence under the nonthawing ice, the abundance and acre structure of C. acutus remained unchanged. The opportunistic species R. gigas-also storing, waxes, although less high-calorie, and feeding in the winter-was not numerous. However, it was represented by all the different stages of development, beginning from copepodite stage CII. The energy was insufficient for the reproduction of this species. The abundance of C propinquus-storing triacilglycerol, and even capable of feeding actively in the winter-decreased by a factor of 45 during the three months of drift under the perennial ice. By the end of our observations, only single elder individuals survived. The omnivorous species M. gerlachei, which reserves both of the above-mentioned substances, was active throughout the period of observation. Due to its extended, although low-intensity reproduction, all the age stages were permanently present in its population. As a result, this population can exist in the under-ice environment for a loner time, having the highest abundance with respect to other copepods, and it can achieve the highest value from dwelling in this environment. Unlike A. gerlachei, the three preceding species are present in the under-ice environment as sterile expatriates.</t>
  </si>
  <si>
    <t>Voronina, NM (corresponding author), Russian Acad Sci, PP Shirshov Oceanol Inst, Moscow, Russia.</t>
  </si>
  <si>
    <t>1531-8508</t>
  </si>
  <si>
    <t>WOS:000187665000010</t>
  </si>
  <si>
    <t>Shuckburgh, E; Haynes, P</t>
  </si>
  <si>
    <t>Diagnosing transport and mixing using a tracer-based coordinate system</t>
  </si>
  <si>
    <t>PHYSICS OF FLUIDS</t>
  </si>
  <si>
    <t>ANTARCTIC POLAR VORTEX; MAGNETIC-FIELD LINES; MEANDERING JET; EFFECTIVE DIFFUSIVITY; CHAOTIC TRANSPORT; ROSSBY WAVES; MANIFOLD RECONNECTION; PERSISTENT PATTERNS; FLUID EXCHANGE; GULF-STREAM</t>
  </si>
  <si>
    <t>The advection-diffusion equation for the concentration of a tracer may be transformed into a pure diffusion equation by using the area inside concentration contours as a coordinate. The corresponding effective diffusivity depends on the geometry of the tracer field, which is determined by the underlying flow. Recent studies have used effective diffusivity, calculated from a suitable tracer, as a qualitative indicator of the transport and mixing properties of a given flow. Here we show that the effective diffusivity may further be used as a quantitative diagnostic of transport and mixing. We use a family of incompressible two-dimensional time-periodic flows as a test-bench and compare the calculated effective diffusivity with other diagnostics. The results demonstrate how the effective diffusivity accurately captures the location and character of barrier and mixing regions. We also show that the effective diffusivity parameterizes the transport of particles relative to the tracer-based coordinates. These results support the use of effective diffusivity as a quantifier of transport and mixing, and thereby strengthen the conclusions of previous qualitative studies. (C) 2003 American Institute of Physics.</t>
  </si>
  <si>
    <t>Ecole Normale Super, Meteorol Dynam Lab, F-75005 Paris, France; Univ Cambridge, Dept Appl Math &amp; Theoret Phys, Cambridge CB3 9EW, England</t>
  </si>
  <si>
    <t>Universite PSL; Ecole Normale Superieure (ENS); Sorbonne Universite; University of Cambridge</t>
  </si>
  <si>
    <t>Shuckburgh, E (corresponding author), Ecole Normale Super, Meteorol Dynam Lab, F-75005 Paris, France.</t>
  </si>
  <si>
    <t>Shuckburgh, Emily/0000-0001-9206-3444; Haynes, Peter/0000-0002-7726-6988</t>
  </si>
  <si>
    <t>CIRCULATION &amp; FULFILLMENT DIV, 2 HUNTINGTON QUADRANGLE, STE 1 N O 1, MELVILLE, NY 11747-4501 USA</t>
  </si>
  <si>
    <t>1070-6631</t>
  </si>
  <si>
    <t>PHYS FLUIDS</t>
  </si>
  <si>
    <t>Phys. Fluids</t>
  </si>
  <si>
    <t>10.1063/1.1610471</t>
  </si>
  <si>
    <t>731BY</t>
  </si>
  <si>
    <t>WOS:000185865700010</t>
  </si>
  <si>
    <t>Manjón-Cabeza, ME; Ramos, A</t>
  </si>
  <si>
    <t>Ophiuroid community structure of the South Shetland Islands and Antarctic Peninsula region</t>
  </si>
  <si>
    <t>ASSEMBLAGES; ECHINODERMATA; DIVERSITY; EVOLUTION</t>
  </si>
  <si>
    <t>During the BENTART 95 survey, epifauna was sampled with an Agassiz trawl at 24 stations ranging from north of Livingston Island (South Shetland Islands) to the Antarctic Peninsula at depths from 40 to 850 m. Four assemblages of ophiuroids were identified and correspond to Deception Island, Trinity Island, and the southern and northern zones of Livingston Island. In addition to these regions, gradients related to depth and filter-feeder biomass were found. The brittle-star assemblages were dominated by Ophionotus victoriae Bell, 1902, which to a large extent determine the biogeographic structure in the South Shetland Islands.</t>
  </si>
  <si>
    <t>Univ Malaga, Fac Ciencias, Dept Biol Anim, E-29071 Malaga, Spain; Inst Espanol Oceanog, Fuengirola Malaga 29640, Spain</t>
  </si>
  <si>
    <t>Universidad de Malaga; Spanish Institute of Oceanography</t>
  </si>
  <si>
    <t>mecloute@uma.es</t>
  </si>
  <si>
    <t>Manjón-Cabeza, M. Eugenia/L-1761-2014</t>
  </si>
  <si>
    <t>Manjón-Cabeza, M. Eugenia/0000-0002-4014-6763</t>
  </si>
  <si>
    <t>10.1007/s00300-003-0539-3</t>
  </si>
  <si>
    <t>736ZG</t>
  </si>
  <si>
    <t>WOS:000186202700001</t>
  </si>
  <si>
    <t>Hirche, HJ; Fetzer, I; Graeve, M; Kattner, G</t>
  </si>
  <si>
    <t>Limnocalanus macrurus in the Kara Sea (Arctic Ocean):: an opportunistic copepod as evident from distribution and lipid patterns</t>
  </si>
  <si>
    <t>FATTY-ACIDS; WAX ESTERS; CALANUS-HYPERBOREUS; LIFE-CYCLE; HERBIVOROUS COPEPODS; ANTARCTIC COPEPODS; TROPHIC MARKERS; GREENLAND SEA; LAPTEV SEA; ZOOPLANKTON</t>
  </si>
  <si>
    <t>Limnocalanus macrurus is an important member of the zooplankton communities of the Siberian shelf seas. During the cruise, Boris Petrov 1999, in August/September to the southern Kara Sea and the Ob and Yenisej estuaries, its abundance and vertical distribution were investigated. In adults, salinity tolerance, egg production, feeding and lipid composition were studied. L. macrurus occurred in water with salinities ranging from 1.7 to &gt;33 without clear preference, as revealed from salinity-tolerance experiments. The dominance of adults and their high wax-ester content, as well as the lack of egg production and feeding activity, suggest that the population was in the pre-overwintering condition. Wax esters allow L. macrurus to survive long starvation periods and to reproduce in times of little food availability, but through its potential carnivory, it should be able to replenish its diet by preying on other zooplankton. Morphology and swimming behaviour of L. macrurus resemble the omnivorous copepod Metridia longa, which, however, is mainly found in the open ocean. The overall lipid composition and the mode of lipid storage also point to an omnivorous feeding behaviour. However, the high proportion of the marker fatty acid 16:1(n-7) suggests that L. macrurus strongly exploited the existent phytoplankton bloom, consisting mainly of diatoms. A striking characteristic of its lipids is the high level of the 20:1(n-7) fatty alcohol in addition to the 18:1(n-7) fatty acid and alcohol. It is the first copepod species known to produce such high amounts of 20:1(n-7) alcohol. Since this alcohol and the corresponding fatty acid are not abundant in any prey, this long-chain monounsaturated wax-ester moiety has to be produced de novo. Owing to these particular lipid characteristics in its distribution, feeding, and life-cycle strategy, L. macrurus can be described as a very versatile and opportunistic copepod.</t>
  </si>
  <si>
    <t>Alfred Wegener Inst Polar &amp; Marine Res, Bremerhaven, Germany</t>
  </si>
  <si>
    <t>Hirche, HJ (corresponding author), Alfred Wegener Inst Polar &amp; Marine Res, Postfach 12 01 61, Bremerhaven, Germany.</t>
  </si>
  <si>
    <t>Fetzer, Ingo/A-6748-2015; Graeve, Martin/B-5751-2017</t>
  </si>
  <si>
    <t>Fetzer, Ingo/0000-0001-7335-5679; Graeve, Martin/0000-0002-2294-1915</t>
  </si>
  <si>
    <t>10.1007/s00300-003-0541-9</t>
  </si>
  <si>
    <t>WOS:000186202700004</t>
  </si>
  <si>
    <t>Tyler, PA; Reeves, S; Peck, L; Clarke, A; Powell, D</t>
  </si>
  <si>
    <t>Seasonal variation in the gametogenic ecology of the Antarctic scallop Adamussium colbecki</t>
  </si>
  <si>
    <t>TERRA-NOVA BAY; URCHIN STERECHINUS-NEUMAYERI; LARVAL DEVELOPMENT; ROSS SEA; PLACOPECTEN-MAGELLANICUS; BENTHIC INVERTEBRATES; ARGOPECTEN-IRRADIANS; FOOD AVAILABILITY; REPRODUCTION; GROWTH</t>
  </si>
  <si>
    <t>Quasi-monthly samples of the Antarctic pectinid bivalve Adamussium colbecki were examined to determine the gametogenic pattern and periodicity. Both female and male gametogenic patterns show a very distinct seasonal development, with the initiation of gametogenesis in October and spawning in late September and early October of the following year. The duration of the gametogenic cycle is unusually short for Antarctic benthos, being 12 months. Reproductive effort (ratio of gonad mass to total tissue mass) is significantly higher in males than females, and males are ready to spawn earlier in the austral winter than females. The digestive gland also shows a strong seasonal cycle but develops earlier than the gonad. We propose that energy from the spring bloom is stored in the digestive gland before being transferred to the gonads. Gonad size, digestive-gland size and, to a lesser extent, adductor-muscle size, are related to adult size in most samples. The length of the gametogenic cycle suggests that reproduction in A. colbecki is more pectinid than Antarctic.</t>
  </si>
  <si>
    <t>Univ Southampton SOC, Sch Ocean &amp; Earth Sci, Southampton SO14 3ZH, Hants, England; British Antarctic Survey, Cambridge CB3 0ET, England</t>
  </si>
  <si>
    <t>NERC National Oceanography Centre; University of Southampton; UK Research &amp; Innovation (UKRI); Natural Environment Research Council (NERC); NERC British Antarctic Survey</t>
  </si>
  <si>
    <t>Tyler, PA (corresponding author), Univ Southampton SOC, Sch Ocean &amp; Earth Sci, Southampton SO14 3ZH, Hants, England.</t>
  </si>
  <si>
    <t>10.1007/s00300-003-0548-2</t>
  </si>
  <si>
    <t>WOS:000186202700005</t>
  </si>
  <si>
    <t>Dubreuil, C; Denis, M; Conan, P; Roy, S</t>
  </si>
  <si>
    <t>Spatial-temporal variability of ultraplankton vertical distribution in the Antarctic frontal zones within 60-66°E, 43-46°S</t>
  </si>
  <si>
    <t>SIZE-FRACTIONATED PHYTOPLANKTON; NORTH-ATLANTIC OCEAN; EASTERN EQUATORIAL PACIFIC; SOUTHERN-OCEAN; CROZET BASIN; INDIAN SECTOR; FLOW-CYTOMETRY; PHOTOSYNTHETIC PICOPLANKTON; INTERANNUAL VARIABILITY; COMMUNITY STRUCTURE</t>
  </si>
  <si>
    <t>The vertical distribution of heterotrophic bacteria and four ultraphytoplanktonic (&lt;10 mum) groups (Prochlorococcus, Synechococcus, pico- and nanoeukaryotes) was investigated by flow cytometry at three process stations located in three different sub-systems belonging to the Antarctic Circumpolar Current frontal zone and to the Southern Indian Ocean (60-66degreesE, 43-46degreesS; ANTARES 4 cruise, January-February 1999): the Subtropical Zone (STZ), the Convergence Zone and the Polar Frontal Zone (PFZ). In each sub-system, short-term variability of cell abundance and flow cytometric parameters (right-angle light scatter and chlorophyll autofluorescence) was assessed through a times series of up to 24 h with a 2 h sampling frequency. The ultraphytoplankton vertical distribution exhibited a high spatial variability, with dominance of Prochlorococcus in the STZ (mean: 762.85x10(10) cells m(-2)), whereas picoeukaryotes (&lt;3 mum) were dominant in the PFZ (55.46x10(10) cells m(-2)), a typically high-nutrient low-chlorophyll zone. Heterotrophic bacteria abundance was maximum (9.84x10(13) cells m(-2)) in the frontal zone, between the Agulhas Front and the Subtropical Front. Nanoeukaryotes showed the largest (up to 80%) variations between two consecutive sampling periods (2 h). Abundance variations could not be assigned to the same water mass during the time series due to the highly variable hydrodynamics of the study area. Trends of short-term abundance variations were opposite between the PFZ (lowest at night) and north of the Subtropical Front (highest at night). The observed spatial and short-term variations illustrate the complexity of the water masses in the Indian sector of the Southern Ocean, and highlight the challenge of extrapolating discrete measurements over space and time for use in evaluating carbon budgets in such dynamic areas.</t>
  </si>
  <si>
    <t>Univ Mediterranee, Ctr Oceanol Marseille, CNRS, UMR 6535,Lab Oceanog &amp; Biogeochim, Marseille 09, France</t>
  </si>
  <si>
    <t>Aix-Marseille Universite; Centre National de la Recherche Scientifique (CNRS)</t>
  </si>
  <si>
    <t>Denis, M (corresponding author), Univ Mediterranee, Ctr Oceanol Marseille, CNRS, UMR 6535,Lab Oceanog &amp; Biogeochim, 163 Ave Luminy,Case 90113288, Marseille 09, France.</t>
  </si>
  <si>
    <t>CONAN, Pascal/GZN-1170-2022</t>
  </si>
  <si>
    <t>CONAN, Pascal/0000-0002-2879-9411</t>
  </si>
  <si>
    <t>10.1007/s00300-003-0545-5</t>
  </si>
  <si>
    <t>WOS:000186202700006</t>
  </si>
  <si>
    <t>Blake, D</t>
  </si>
  <si>
    <t>Halley - at the edge of ice-station design</t>
  </si>
  <si>
    <t>PROCEEDINGS OF THE INSTITUTION OF CIVIL ENGINEERS-CIVIL ENGINEERING</t>
  </si>
  <si>
    <t>Halley the 50-year-old Antarctic survey station where the hole in the ozone layer was discovered, is by necessity in one of the most inhospitable parts of the earth. Its resident staff are exposed to temperatures down to -55degreesC and winds up to 150 km/h, Everything they build eventually gets embedded in a moving ice shelf. As such, the first four stations were abandoned after ten years or so. The current station, Halley S, is radically different from previous designs in that it uses a mix of Jackable and ski-mounted structures, However, there is still room for improvement, particularly in regard to energy use, and Halley 6-already on the drawing board-is likely to be a further major step forward in sustainable ice-station design.</t>
  </si>
  <si>
    <t>Blake, D (corresponding author), British Antarctic Survey, Cambridge CB3 0ET, England.</t>
  </si>
  <si>
    <t>THOMAS TELFORD SERVICES LTD</t>
  </si>
  <si>
    <t>THOMAS TELFORD HOUSE, 1 HERON QUAY, LONDON E14 4JD, ENGLAND</t>
  </si>
  <si>
    <t>0965-089X</t>
  </si>
  <si>
    <t>P I CIVIL ENG-CIV EN</t>
  </si>
  <si>
    <t>Proc. Inst. Civil Eng.-Civil Eng.</t>
  </si>
  <si>
    <t>767WM</t>
  </si>
  <si>
    <t>WOS:000188496900012</t>
  </si>
  <si>
    <t>Holmgren, K; Lee-Thorp, JA; Cooper, GRJ; Lundblad, K; Partridge, TC; Scott, L; Sithaldeen, R; Talma, AS; Tyson, PD</t>
  </si>
  <si>
    <t>Persistent millennial-scale climatic variability over the past 25,000 years in Southern Africa</t>
  </si>
  <si>
    <t>SEA-SURFACE TEMPERATURES; NORTH-ATLANTIC CLIMATE; ICE CORE RECORDS; LATE QUATERNARY; HOLOCENE CLIMATE; ISOTOPE FRACTIONATION; ENVIRONMENTAL-CHANGE; TROPICAL ATLANTIC; HEINRICH EVENTS; HALF-LIVES</t>
  </si>
  <si>
    <t>Data from stalagmites in the Makapansgat Valley, South Africa, document regional climatic change in southern Africa in the Late Pleistocene and Holocene. A new TIMS U-series dated stalagmite indicates speleothem growth from 24.4 to 12.7 ka and from 10.2 to 0 ka, interrupted by a 2.5 ka hiatus. High-resolution oxygen and carbon stable isotope data suggest that postglacial warming was first initiated similar to17 ka, was interrupted by cooling, probably associated with the Antarctic Cold Reversal, and was followed by strong warming after 13.5 ka. The Early Holocene experienced warm, evaporative conditions with fewer C-4 grasses. Cooling is evident from similar to6 to 2.5 ka, followed by warming between 1.5 and 2.5 ka and briefly at similar toAD 1200. Maximum Holocene cooling occurred at AD 1700. The new stalagmite largely confirms results from shorter Holocene stalagmites reported earlier. The strongest variability superimposed on more general trends has a quasi-periodicity between 2.5 and 4.0 ka. Also present are weaker similar to1.0 ka and similar to100-year oscillations, the latter probably solar induced. Given similarities to the Antarctic records, the proximate driving force producing millennial- and centennial-scale changes in the Makapansgat record is postulated to be atmospheric circulation changes associated with change in the Southern Hemisphere circumpolar westerly wind vortex. (C) 2003 Elsevier Ltd. All rig is reserved.</t>
  </si>
  <si>
    <t>Stockholm Univ, Dept Phys Geog &amp; Quaternary Geol, S-10691 Stockholm, Sweden; Univ Cape Town, Dept Archaeol, ZA-7701 Cape Town, South Africa; Univ Witwatersrand, Sch Geosci, ZA-2050 Johannesburg, South Africa; Univ Witwatersrand, Climatol Res Grp, ZA-2050 Johannesburg, South Africa; Univ Free State, Dept Plant Sci, ZA-9300 Bloemfontein, South Africa; CSIR, Quaternary Dating Res Unit, ZA-0001 Pretoria, South Africa</t>
  </si>
  <si>
    <t>Stockholm University; University of Cape Town; University of Witwatersrand; University of Witwatersrand; University of the Free State; Council for Scientific &amp; Industrial Research (CSIR) - South Africa</t>
  </si>
  <si>
    <t>Stockholm Univ, Dept Phys Geog &amp; Quaternary Geol, S-10691 Stockholm, Sweden.</t>
  </si>
  <si>
    <t>karin.holmgren@natgeo.su.se</t>
  </si>
  <si>
    <t>Scott, Louis/T-5279-2017; Holmgren, Karin/HTT-0489-2023; Cooper, Gordon/ABI-4358-2020</t>
  </si>
  <si>
    <t>Scott, Louis/0000-0002-4531-0497; Cooper, Gordon/0000-0003-2864-2542</t>
  </si>
  <si>
    <t>21-22</t>
  </si>
  <si>
    <t>10.1016/S0277-3791(03)00204-X</t>
  </si>
  <si>
    <t>754ER</t>
  </si>
  <si>
    <t>WOS:000187290200006</t>
  </si>
  <si>
    <t>Massive siliciclastic discharge to slopes of the Great Barrier Reef Platform during sea-level transgression:: constraints from sediment cores between 15°S and 16°S latitude and possible explanations</t>
  </si>
  <si>
    <t>siliciclastic material; Queensland Trough; Great Barrier Reef</t>
  </si>
  <si>
    <t>INCISED VALLEYS; EARLY HOLOCENE; MIDDLE SHELF; CARBONATE; AUSTRALIA; SOUTHERN; STRATIGRAPHY; QUEENSLAND; SEQUENCES; SYSTEMS</t>
  </si>
  <si>
    <t>The northeast Australian continental margin, including the Great Barrier Reef (GBR) Platform, provides an outstanding modem analogue for understanding sedimentation in tropical mixed siliciclastic/carbonate depositional systems. Previous studies of cores from this margin have suggested that, in contrast to widely accepted models, maximum siliciclastic fluxes to slopes over the last 30 ky occurred when sea level transgressed the shelf ca. 11-7 ka rather than when sea level was at a lowstand before 18 ka. However, climate and bathymetry can affect regional sediment deposition significantly, and the cores examined to date have come from the southern Queensland Trough where the margin has a wet tropical climate and a broad shelf (&gt;50 km) with gradual slopes. In this study, we examine the abundance and accumulation of siliciclastic material in four cores from lower slopes of the northern Queensland Trough where rivers drain a drier region and debouche onto a narrow shelf with steep, incised slopes. Similar to previously examined cores, all cores contain a dark greyish brown horizon within the upper few meters. This horizon represents a low in carbonate content and corresponding high in siliciclastic, material, primarily clay, and oxygen isotope stratigraphy shows that it was deposited during late transgression, nominally between I I and 7 ka. Moreover, mass accumulation rate calculations demonstrate that this horizon reflects a significant rise in siliciclastic fluxes. When combined with the previous work to the south, it appears that slopes all along a large portion of the northeast Australian continental margin received greatly enhanced inputs of siliciclastic material during late transgression, independent of proximal climate and bathymetry. Two general explanations are offered for this observation: (1) climate change induced highly variable riverine discharge over the past 30 ky with a prominent maximum coincident with late transgression, or (2) the shelf stores large quantities of siliciclastic sediment during lowstand and releases this material to the slope during late transgression. In either case, siliciclastic accumulation on the northeast Australia continental margin behaves completely opposite to predictions from conventional models. (C) 2003 Elsevier B.V. All rights reserved.</t>
  </si>
  <si>
    <t>Victoria Univ Wellington, Antarctic Res Ctr, Wellington, New Zealand; Australian Natl Univ, Res Sch Earth Sci, Canberra, ACT 0200, Australia; Rice Univ, Dept Earth Sci, Houston, TX 77005 USA</t>
  </si>
  <si>
    <t>Victoria University Wellington; Australian National University; Rice University</t>
  </si>
  <si>
    <t>gavin.dunbar@anu.edu.au</t>
  </si>
  <si>
    <t>10.1016/S0037-0738(03)00216-1</t>
  </si>
  <si>
    <t>743WJ</t>
  </si>
  <si>
    <t>WOS:000186596300009</t>
  </si>
  <si>
    <t>Gabric, AJ; Cropp, R; Hirst, T; Marchant, H</t>
  </si>
  <si>
    <t>The sensitivity of dimethyl sulfide production to simulated climate change in the Eastern Antarctic Southern Ocean</t>
  </si>
  <si>
    <t>PHYTOPLANKTON COMMUNITY STRUCTURE; DYNAMIC SEA-ICE; ROSS SEA; MARINE-PHYTOPLANKTON; BIOLOGICAL REMOVAL; ATMOSPHERIC SULFUR; CARBON-DIOXIDE; SHELF WATERS; CLOUD ALBEDO; WEDDELL SEA</t>
  </si>
  <si>
    <t>Dimethylsulfide (DMS) is a radiatively active trace gas produced by enzymatic cleavage of its precursor compound, dimethyl sulfoniopropionate (DMSP). which is released by marine phytoplankton in the upper ocean. Once ventilated to the atmosphere. DMS is oxidised to form non-sea-salt Sulfate and methane sulfonate (MSA) aerosols. which arc a major source Of Cloud condensation nuclei (CCN) in remote marine air and may thus play a role in climate regulation. Here we simulate the change in DMS flux in the Eastern Antarctic ocean from 1960-2086. corresponding to equivalent CO? tripling relative to pre-industrial levels. Calibration to contemporary climate conditions was carried out using a genetic algorithm to fit the model to surface chlorophyll from the 4-yr SeaWiFs satellite archive and surface DMS from an existing global database. Following the methodology used previously in the Subantarctic Southern Ocean. we then simulated DMS emissions under enhanced greenhouse conditions by forcing the DMS model with output from a coupled atmospheric-ocean general circulation model (GCM). The GCM was run in transient mode under the IPCC/IS92a radiative forcing scenario. By 2086, the charge simulated in annual integrated DMS flux is around 20% in ice-free waters, with a greater increase of 45% in the seasonal ice zone (SIZ). Interestingly, the large increase in flux in the SIZ is not due to higher in situ production but mainly because of a loss of ice cover during summer-autumn and an increase in sea-to-air ventilation of DMS. These proportional changes in areal mean flux (25%) Me much higher than previously estimated for the Subantarctic Southern Ocean (5%), and point to the possibility of a significant DMS-climate feedback at high Southern latitudes. Due to the nexus between ice cover and food-web structure, the potential for ecological community shifts under enhanced greenhouse conditions is high. and the implications for DMS production are discussed.</t>
  </si>
  <si>
    <t>Griffith Univ, Sch Australian Environm Studies, Nathan, Qld 4111, Australia; CSIRO, Atmospher Res, Aspendale, Vic 3195, Australia; Australian Antarctic Div, Kingston, Tas 7050, Australia</t>
  </si>
  <si>
    <t>Griffith University; Commonwealth Scientific &amp; Industrial Research Organisation (CSIRO); Australian Antarctic Division</t>
  </si>
  <si>
    <t>Gabric, AJ (corresponding author), Griffith Univ, Sch Australian Environm Studies, Nathan, Qld 4111, Australia.</t>
  </si>
  <si>
    <t>a.gabric@griffith.edu.au</t>
  </si>
  <si>
    <t>Hirst, Anthony/E-2756-2013; Hirst, Anthony/N-1041-2014; Gabric, Albert J/S-1551-2017; Cropp, Roger/C-1019-2008</t>
  </si>
  <si>
    <t>Cropp, Roger/0000-0001-9582-857X</t>
  </si>
  <si>
    <t>10.1034/j.1600-0889.2003.00077.x</t>
  </si>
  <si>
    <t>739CG</t>
  </si>
  <si>
    <t>WOS:000186324200002</t>
  </si>
  <si>
    <t>Costs and consequences of evolutionary temperature adaptation</t>
  </si>
  <si>
    <t>TRENDS IN ECOLOGY &amp; EVOLUTION</t>
  </si>
  <si>
    <t>METABOLIC-RATE; BODY-MASS; LATITUDINAL VARIATION; MOLECULAR CHAPERONES; DROSOPHILA-SERRATA; SEASONAL-CHANGES; MARINE COPEPODS; GROWTH-RATES; RANGE; SIZE</t>
  </si>
  <si>
    <t>Temperature affects everything that an organism does. Although we have an increasingly sophisticated understanding of evolutionary adaptation to temperature at the molecular level for some cellular processes, we still know little about evolutionary temperature adaptation in gene expression, cell-cycle control or growth, all of which influence organism performance and fitness. Recent studies have shown that the physiological costs of evolutionary temperature adaptation vary with body temperature. Here, I argue that this macroecological pattern has powerful consequences for life-history theory, and probably also for food-web dynamics, biological diversity and biotic response to climate change. The relationships among evolution, temperature and ecology are multivariate, hierarchical and complex making evolutionary physiology at the macroecological scale an exciting and challenging agenda for the next decade.</t>
  </si>
  <si>
    <t>British Antarctic Survey, Div Biol Sci, Cambridge CB3 0ET, England</t>
  </si>
  <si>
    <t>British Antarctic Survey, Div Biol Sci, HIgh Cross,Madingley Rd, Cambridge CB3 0ET, England.</t>
  </si>
  <si>
    <t>accl@bas.ac.uk</t>
  </si>
  <si>
    <t>ELSEVIER SCIENCE LONDON</t>
  </si>
  <si>
    <t>84 THEOBALDS RD, LONDON WC1X 8RR, ENGLAND</t>
  </si>
  <si>
    <t>0169-5347</t>
  </si>
  <si>
    <t>1872-8383</t>
  </si>
  <si>
    <t>TRENDS ECOL EVOL</t>
  </si>
  <si>
    <t>Trends Ecol. Evol.</t>
  </si>
  <si>
    <t>10.1016/j.tree.2003.08.007</t>
  </si>
  <si>
    <t>Ecology; Evolutionary Biology; Genetics &amp; Heredity</t>
  </si>
  <si>
    <t>Environmental Sciences &amp; Ecology; Evolutionary Biology; Genetics &amp; Heredity</t>
  </si>
  <si>
    <t>738WP</t>
  </si>
  <si>
    <t>WOS:000186311100008</t>
  </si>
  <si>
    <t>Báez, AM; Pugener, LA</t>
  </si>
  <si>
    <t>Ontogeny of a new Palaeogene pipid frog from southern South America and xenopodinomorph evolution</t>
  </si>
  <si>
    <t>ZOOLOGICAL JOURNAL OF THE LINNEAN SOCIETY</t>
  </si>
  <si>
    <t>Gondwana; Patagonia; Pipidae; Shelania; Silurana; xenopodinae; Xenopus</t>
  </si>
  <si>
    <t>SKELETAL DEVELOPMENT; ANTARCTIC PENINSULA; XENOPUS-LAEVIS; ANURAN LARVAE; PIPOID FROGS; PHYLOGENY; OSTEOLOGY; PALEOCENE; AMPHIBIA; CLIMATE</t>
  </si>
  <si>
    <t>Lacustrine interbeds of a volcanielastic succession that crops out extensively in north-western Patagonia yielded impressions of articulated, nearly complete, frogs of different ontogenetic stages including tadpoles. The stratigraphic position of the fossil bearing beds in this sequence and evaluation of palaeofloristic data against the record of climatic change in southern high latitudes support a middle Eocene - early Oligocene age for the frogs. These frogs are described as a new genus and species that resembles the late Palaeocene 'Xenopus' romeri from Brazil, and differs from the middle Eocene S. pascuali from Patagonia, in the relatively wide and short braincase and fused first two presacral vertebrae. However, unlike 'X' romeri, the nasals are paired and bear short, but distinct, rostral processes. A parsimony analysis based on 49 adult osteological characters demonstrates that these South American fossil pipids are closely related to xenopodines, restricted to the African continent today, although their interrelationships remain poorly resolved. Interpretation of the ontogenetic stages exemplified by the fossil specimens suggests a developmental pattern more similar to that of extant xenopodines than to the ontogeny of more distant pipoid relatives. Moreover, the similarity between these fossil larvae and those of Xenopus and Silurana strongly suggests similar habits. Many of these larval features may be considered as caenogenetic, i.e. specializations of the tadpoles as obligate, microphagous suspension feeders. (C) 2003 The Linnean Society of London.</t>
  </si>
  <si>
    <t>Univ Buenos Aires, Fac Ciencias Exactas, Dept Geol, RA-1428 Buenos Aires, DF, Argentina; Univ Kansas, Museum Nat Hist, Lawrence, KS 66045 USA</t>
  </si>
  <si>
    <t>University of Buenos Aires; University of Kansas</t>
  </si>
  <si>
    <t>Báez, AM (corresponding author), Univ Buenos Aires, Fac Ciencias Exactas, Dept Geol, Pabellon 2,Ciudad Univ, RA-1428 Buenos Aires, DF, Argentina.</t>
  </si>
  <si>
    <t>0024-4082</t>
  </si>
  <si>
    <t>ZOOL J LINN SOC-LOND</t>
  </si>
  <si>
    <t>Zool. J. Linn. Soc.</t>
  </si>
  <si>
    <t>10.1046/j.1096-3642.2003.00085.x</t>
  </si>
  <si>
    <t>749DJ</t>
  </si>
  <si>
    <t>WOS:000186903100004</t>
  </si>
  <si>
    <t>Krahmann, G; Visbeck, M; Smethie, W; D'Asaro, EA; Rhines, PB; Clarke, RA; Lazier, J; Davis, RE; Niiler, PP; Guest, PS; Meincke, J; Moore, GWK; Pickart, RS; Owens, WB</t>
  </si>
  <si>
    <t>The Labrador Sea Deep Convection Experiment data collection</t>
  </si>
  <si>
    <t>deep convection; Labrador Sea; oceanography : general : descriptive and regional oceanography; oceanography : physical :; hydrography; oceanography : physical : eddies and mesoscale processes</t>
  </si>
  <si>
    <t>COLD-AIR OUTBREAK; LAGRANGIAN FLOATS; SUBSURFACE FLOATS; REANALYSIS; FLUX</t>
  </si>
  <si>
    <t>[1] Between 1996 and 1998, a concerted effort was made to study the deep open ocean convection in the Labrador Sea. Both in situ observations and numerical models were employed with close collaboration between the researchers in the fields of physical oceanography, boundary layer meteorology, and climate. A multitude of different methods were used to observe the state of ocean and atmosphere and determine the exchange between them over the experiment's period. The Labrador Sea Deep Convection Experiment data collection aims to assemble the observational data sets in order to facilitate the exchange and collaboration between the various projects and new projects for an overall synthesis. A common file format and a browsable inventory have been used so as to simplify the access to the data.</t>
  </si>
  <si>
    <t>Columbia Univ, Lamont Doherty Earth Observ, Palisades, NY 10964 USA; Columbia Univ, Dept Earth &amp; Environm Sci, Palisades, NY 10964 USA; Univ Washington, Appl Phys Lab, Seattle, WA 98105 USA; Univ Washington, Sch Oceanog, Seattle, WA 98195 USA; Fisheries &amp; Oceans Canada, Bedford Inst Oceanog, Ocean Sci Div, Dartmouth, NS B2Y 4A2, Canada; Univ Calif San Diego, Scripps Inst Oceanog, La Jolla, CA 92093 USA; USN, Postgrad Sch, Dept Meteorol, Monterey, CA 93943 USA; Inst Meereskunde, D-22529 Hamburg, Germany; Univ Toronto, Dept Phys, Toronto, ON M5S 1A7, Canada; Woods Hole Oceanog Inst, Dept Phys Oceanog, Woods Hole, MA 02543 USA; Univ Rhode Isl, Grad Sch Oceanog, Narragansett, RI 02882 USA; British Antarctic Survey, NERC, Cambridge CB3 0ET, England; Univ Kiel, Inst Meereskunde, D-24105 Kiel, Germany</t>
  </si>
  <si>
    <t>Columbia University; Columbia University; University of Washington; University of Washington Seattle; University of Washington; University of Washington Seattle; Fisheries &amp; Oceans Canada; Bedford Institute of Oceanography; University of California System; University of California San Diego; Scripps Institution of Oceanography; United States Department of Defense; United States Navy; Naval Postgraduate School; University of Toronto; Woods Hole Oceanographic Institution; University of Rhode Island; UK Research &amp; Innovation (UKRI); Natural Environment Research Council (NERC); NERC British Antarctic Survey; University of Kiel</t>
  </si>
  <si>
    <t>Krahmann, G (corresponding author), Columbia Univ, Lamont Doherty Earth Observ, RT 9W, Palisades, NY 10964 USA.</t>
  </si>
  <si>
    <t>Visbeck, Martin H/B-6541-2016; Moore, George Kent/D-8518-2011; Visbeck, Martin/G-2461-2011</t>
  </si>
  <si>
    <t>Visbeck, Martin H/0000-0002-0844-834X; Moore, George Kent/0000-0002-3986-5605; Visbeck, Martin/0000-0002-0844-834X; Davis, Russ/0000-0003-1903-6313</t>
  </si>
  <si>
    <t>OCT 31</t>
  </si>
  <si>
    <t>10.1029/2003GC000536</t>
  </si>
  <si>
    <t>740GH</t>
  </si>
  <si>
    <t>Green Accepted, Bronze, Green Published</t>
  </si>
  <si>
    <t>WOS:000186394300002</t>
  </si>
  <si>
    <t>Kaiser, J</t>
  </si>
  <si>
    <t>Glaciology - Warmer ocean could threaten Antarctic Ice Shelves</t>
  </si>
  <si>
    <t>737XQ</t>
  </si>
  <si>
    <t>WOS:000186258000003</t>
  </si>
  <si>
    <t>Shepherd, A; Wingham, D; Payne, T; Skvarca, P</t>
  </si>
  <si>
    <t>Larsen ice shelf has progressively thinned</t>
  </si>
  <si>
    <t>ANTARCTIC PENINSULA; MODEL; TEMPERATURE; VARIABILITY; COLLAPSE; GLACIER; RETREAT; SURFACE; TRENDS; MOTION</t>
  </si>
  <si>
    <t>The retreat and collapse of Antarctic Peninsula ice shelves in tandem with a regional atmospheric warming has fueled speculation as to how these events may be related. Satellite radar altimeter measurements show that between 1992 and 2001 the Larsen Ice Shelf lowered by up to 0.27 +/- 0.11 meters per year. The lowering is explained by increased summer melt-water and the loss of basal ice through melting. Enhanced ocean-driven melting may provide a simple link between regional climate warming and the successive disintegration of sections of the Larsen Ice Shelf.</t>
  </si>
  <si>
    <t>Univ Cambridge, Scott Polar Res Inst, Ctr Polar Observat &amp; Modelling, Cambridge CB2 1ER, England; UCL, Ctr Polar Observat &amp; Modelling, London WC1E 6BT, England; Univ Bristol, Ctr Polar Observat &amp; Modelling, Bristol BS8 1SS, Avon, England; Inst Antartico Argentino, RA-1010 Buenos Aires, DF, Argentina</t>
  </si>
  <si>
    <t>University of Cambridge; University of London; University College London; University of Bristol; Instituto Antartico Argentino</t>
  </si>
  <si>
    <t>Univ Cambridge, Scott Polar Res Inst, Ctr Polar Observat &amp; Modelling, Cambridge CB2 1ER, England.</t>
  </si>
  <si>
    <t>aps46@cam.ac.uk</t>
  </si>
  <si>
    <t>; payne, antony/A-8916-2008</t>
  </si>
  <si>
    <t>Shepherd, Andrew/0000-0002-4914-1299; payne, antony/0000-0001-8825-8425</t>
  </si>
  <si>
    <t>10.1126/science.1089768</t>
  </si>
  <si>
    <t>WOS:000186258000046</t>
  </si>
  <si>
    <t>Clason, B; Duquesne, S; Liess, M; Schulz, R; Zauke, GP</t>
  </si>
  <si>
    <t>Bioaccumulation of trace metals in the Antarctic amphipod Paramoera walkeri (Stebbing, 1906):: comparison of two-compartment and hyperbolic toxicokinetic models</t>
  </si>
  <si>
    <t>AQUATIC TOXICOLOGY</t>
  </si>
  <si>
    <t>Antarctic; metals; toxicokinetic models; amphipods; life history; UV radiation</t>
  </si>
  <si>
    <t>WEDDELL SEA ANTARCTICA; ZADDACHI SEXTON 1912; NOVA BAY ANTARCTICA; GAMMARUS-PULEX L; HYALELLA-AZTECA; GREENLAND SEA; MARINE-INVERTEBRATES; ESTUARINE AMPHIPODS; SOUTHERN-OCEAN; HEAVY-METALS</t>
  </si>
  <si>
    <t>Bioaccumulation of Cd, Pb, Cu and Zn in the Antarctic gammaridean amphipod Paramoera walkeri (Stebbing, 1906) was investigated at Casey station (Australian Antarctic Territory). The main goals were to provide information on accumulation strategies of the organisms tested and to verify toxicokinetic models as a predictive tool. The organisms accumulated metals upon exposure and it was possible to estimate significant model parameters of two-compartment and hyperbolic models. These models were successfully verified in a second toxicokinetic study. However, the application of hyperbolic models appears to be more promising as a predictive tool for metals in amphipods compared to compartment models, which have failed to adequately predict metal accumulation in experiments with increasing external exposures in previous studies. The following kinetic bioconcentration factors (BCFs) for the theoretical equilibrium were determined: 150-630 (Cd), 1600-7000 (Pb), 1700-3800 (Cu) and 670-2400 (Zn). We find decreasing BCFs with increasing external metal dosing but similar results for treatments with and without natural UV radiation and for the combined effect of different exposure regimes (single versus multiple metal exposure) and/or the amphipod collective involved (Beall versus Denison Island). A tentative estimation showed the following sequence of sensitivity of P. walkeri to an increase of soluble metal exposure: 0.2-3.0 mug Cd l(-1), 0.12-0.25 mug Pb l(-1), 0.9-3.0 mug Cu l(-1) and 926 mug Zn l(-1). Thus, the amphipod investigated proved to be more sensitive as biomonitor compared to gammarids from German coastal waters (with the exception of Cd) and to copepods from the Weddell Sea inferred from literature data. (C) 2003 Elsevier B.V. All rights reserved.</t>
  </si>
  <si>
    <t>Carl Von Ossietzky Univ Oldenburg, Inst Chem &amp; Biol Meeres, ICBM, D-26111 Oldenburg, Germany; Univ W England, Fac Sci Appl, Bristol BS16 1QY, Avon, England; Tech Univ Braunschweig, Inst Zool, D-38092 Braunschweig, Germany</t>
  </si>
  <si>
    <t>Carl von Ossietzky Universitat Oldenburg; University of West England; Braunschweig University of Technology</t>
  </si>
  <si>
    <t>Zauke, GP (corresponding author), Carl Von Ossietzky Univ Oldenburg, Inst Chem &amp; Biol Meeres, ICBM, Postfach 2503, D-26111 Oldenburg, Germany.</t>
  </si>
  <si>
    <t>gerd.p.zauke@uni-oldenburg.de</t>
  </si>
  <si>
    <t>Schulz, Ralf/ABI-4526-2020; Schulz, Ralf/G-3674-2011; Duquesne, Sabine/H-5575-2011; Liess, Matthias/A-8582-2009</t>
  </si>
  <si>
    <t>Schulz, Ralf/0000-0002-6348-6971; Liess, Matthias/0000-0002-3321-8909; Duquesne, Sabine/0000-0001-9874-8540</t>
  </si>
  <si>
    <t>0166-445X</t>
  </si>
  <si>
    <t>AQUAT TOXICOL</t>
  </si>
  <si>
    <t>Aquat. Toxicol.</t>
  </si>
  <si>
    <t>OCT 29</t>
  </si>
  <si>
    <t>10.1016/S0166-445X(03)00120-6</t>
  </si>
  <si>
    <t>Marine &amp; Freshwater Biology; Toxicology</t>
  </si>
  <si>
    <t>719ZZ</t>
  </si>
  <si>
    <t>WOS:000185236700001</t>
  </si>
  <si>
    <t>Brooks, SD; Baumgardner, D; Gandrud, B; Dye, JE; Northway, MJ; Fahey, DW; Bui, TP; Toon, OB; Tolbert, MA</t>
  </si>
  <si>
    <t>Measurements of large stratospheric particles in the Arctic polar vortex</t>
  </si>
  <si>
    <t>PSC; MASP; denitrification</t>
  </si>
  <si>
    <t>LARGE HNO3-CONTAINING PARTICLES; ANTARCTIC SPRING STRATOSPHERE; NITRIC-ACID TRIHYDRATE; OZONE LOSS; REFRACTIVE-INDEXES; REACTIVE NITROGEN; VAPOR-PRESSURES; DENITRIFICATION; CLOUDS; WINTER</t>
  </si>
  <si>
    <t>[1] During the SAGE III Ozone Loss and Validation Experiment/Third European Stratospheric Experiment on Ozone 2000 mission, the Multiangle Aerosol Spectrometer Probe ( MASP) was flown aboard the ER-2 aircraft sampling the Arctic polar vortex. On several of the flights the ER-2 flew directly through polar stratospheric clouds (PSCs), and on six of these flights the MASP sampled large particles ( 2 - 22 mum diameter). MASP large particle observations are correlated in time with the large particle signal from the NOAA NOy measurements. This is direct evidence supporting the inference of particle size made by the NOy instrument. On 20 January 2000, the day of the most intense PSC encounter, the shapes of the large particle size distributions above 9 mum observed by the MASP and simulated based on the NOy instruments are in reasonable agreement. The MASP observations show a dramatic increase in large particle volume as the temperature approaches the nitric acid trihydrate equilibrium temperature. Our study suggests that large particles containing nitric acid are present in the Arctic polar stratosphere and may lead to denitrification.</t>
  </si>
  <si>
    <t>Univ Colorado, Dept Chem &amp; Biochem, Boulder, CO 80309 USA; Univ Colorado, Cooperat Inst Res Environm Sci, Boulder, CO 80309 USA; Univ Mexicana, Mexico City 04510, DF, Mexico; Natl Ctr Atmospher Res, Boulder, CO 80301 USA; NOAA, Aeron Lab, Boulder, CO 80303 USA; NASA, Ames Res Ctr, Moffett Field, CA 94035 USA; Univ Colorado, Program Atmospher &amp; Ocean Sci, Boulder, CO 80309 USA; Univ Colorado, Atmospher &amp; Space Phys Lab, Boulder, CO 80309 USA</t>
  </si>
  <si>
    <t>University of Colorado System; University of Colorado Boulder; University of Colorado System; University of Colorado Boulder; National Center Atmospheric Research (NCAR) - USA; National Oceanic Atmospheric Admin (NOAA) - USA; National Aeronautics &amp; Space Administration (NASA); NASA Ames Research Center; University of Colorado System; University of Colorado Boulder; University of Colorado System; University of Colorado Boulder</t>
  </si>
  <si>
    <t>Univ Colorado, Dept Chem &amp; Biochem, Campus Box 215, Boulder, CO 80309 USA.</t>
  </si>
  <si>
    <t>sbrooks@lamar.colostate.edu; darrel@servidor.unam.mx; northway@al.noaa.gov; dfahey@al.noaa.gov; toon@lasp.colorado.edu</t>
  </si>
  <si>
    <t>Brooks, Sarah D./H-1176-2012; Fahey, David/G-4499-2013</t>
  </si>
  <si>
    <t>Fahey, David/0000-0003-1720-0634</t>
  </si>
  <si>
    <t>D20</t>
  </si>
  <si>
    <t>10.1029/2002JD003278</t>
  </si>
  <si>
    <t>740GU</t>
  </si>
  <si>
    <t>WOS:000186395300001</t>
  </si>
  <si>
    <t>Meredith, MP; Watkins, JL; Murphy, EJ; Cunningham, NJ; Wood, AG; Korb, R; Whitehouse, MJ; Thorpe, SE; Vivier, F</t>
  </si>
  <si>
    <t>An anticyclonic circulation above the Northwest Georgia Rise, Southern Ocean</t>
  </si>
  <si>
    <t>ANTARCTIC CIRCUMPOLAR CURRENT; TAYLOR-COLUMNS; SEAMOUNT; FRONT</t>
  </si>
  <si>
    <t>Data from a variety of sources reveal a warm-core anticyclonic circulation above the Northwest Georgia Rise ( NWGR), an similar to2000-m high bathymetric feature north of South Georgia. The sense of the circulation is opposite to the general cyclonic flow in the Georgia Basin. The circulation shows the characteristics of a stratified Taylor column: dimensional analysis shows that the local bathymetry and hydrography are conducive to the formation of such. ERS2 altimeter data show that the column, whilst not fully permanent, is nonetheless a recurring feature. High concentrations of chlorophyll-a are observed at the centre of the circulation, indicating that the modulation of the physical environment has significant consequences for the local biogeochemical system via enhanced primary production. Enhanced chlorophyll-a extends in a long plume from the NWGR along pathways indicated by drifters; this passive redistribution may have consequences for the larger (basin-) scale ecosystem.</t>
  </si>
  <si>
    <t>Bidston Observ, Proudman Oceanog Lab, Prenton, England; British Antarctic Survey, Cambridge CB3 0ET, England; Univ Paris 06, Lab Oceanog Dynam &amp; Climatol, Paris, France</t>
  </si>
  <si>
    <t>NERC National Oceanography Centre; UK Research &amp; Innovation (UKRI); Natural Environment Research Council (NERC); NERC British Antarctic Survey; Sorbonne Universite</t>
  </si>
  <si>
    <t>Meredith, MP (corresponding author), Bidston Observ, Proudman Oceanog Lab, Prenton, England.</t>
  </si>
  <si>
    <t>Cunningham, Nathan J/B-9591-2008; murphy, eugene/GZL-1620-2022</t>
  </si>
  <si>
    <t>Vivier, Frederic/0000-0003-2539-4133; Thorpe, Sally/0000-0002-5193-6955; Cunningham, Nathan/0000-0003-4941-504X; Meredith, Michael/0000-0002-7342-7756</t>
  </si>
  <si>
    <t>OCT 28</t>
  </si>
  <si>
    <t>10.1029/2003GL018039</t>
  </si>
  <si>
    <t>740GK</t>
  </si>
  <si>
    <t>WOS:000186394500003</t>
  </si>
  <si>
    <t>de la Torre, JR; Christianson, LM; Béjà, O; Suzuki, MT; Karl, DM; Heidelberg, J; DeLong, EF</t>
  </si>
  <si>
    <t>Proteorhodopsin genes are distributed among divergent marine bacterial taxa</t>
  </si>
  <si>
    <t>PROCEEDINGS OF THE NATIONAL ACADEMY OF SCIENCES OF THE UNITED STATES OF AMERICA</t>
  </si>
  <si>
    <t>marine bacteria; picoplankton; genomics; evolution; ecology</t>
  </si>
  <si>
    <t>BACTERIOPLANKTON; IDENTIFICATION; PHOTOTROPHY; PROTEINS; VARIANTS; OCEAN; SEA</t>
  </si>
  <si>
    <t>Proteorhodopsin (PR) is a retinal-binding bacterial integral membrane protein that functions as a light-driven proton pump. The gene encoding this photoprotein was originally discovered on a large genome fragment derived from an uncultured marine gamma-proteobacterium of the SAR86 group. Subsequently, many variants of the PR gene have been detected in marine plankton, via PCR-based gene surveys. It has not been clear, however, whether these different PR genes are widely distributed among different bacterial groups, or whether they have a restricted taxonomic distribution. We report here comparative analyses of PR-bearing genomic fragments recovered directly from planktonic bacteria inhabiting the California coast, the central Pacific Ocean, and waters offshore the Antarctica Peninsula. Sequence analysis of an Antarctic genome fragment harboring PR (ANT32C12) revealed moderate conservation in gene order and identity, compared with a previously reported PR-containing genome fragment from a Monterey Bay gamma-proteobacterium (EBAC31A08). Outside the limited region of synteny shared between these clones, however, no significant DNA or protein identity was evident. Analysis of a third PR-containing genome fragment (HOT2C01) from the North Pacific subtropical gyre showed even more divergence from the gamma-proteobacterial PR-flanking region. Subsequent phylogenetic and comparative genomic analyses revealed that the Central North Pacific PR-containing genome fragment (HOT2C01) originated from a planktonic alpha-proteobacterium. These data indicate that PR genes are distributed among a variety of divergent marine bacterial taxa, including both alpha- and gamma-proteobacteria. Our analyses also demonstrate the utility of cultivation-independent comparative genomic approaches for assessing gene content and distribution in naturally occurring microbes.</t>
  </si>
  <si>
    <t>Monterey Bay Aquarium Res Inst, Moss Landing, CA 95039 USA; Technion Israel Inst Technol, Dept Biol, IL-32000 Haifa, Israel; Univ Maryland, Chesapeake Biol Lab, Solomons, MD 20688 USA; Univ Hawaii, Dept Oceanog, Manoa, HI 96822 USA; Inst Genomic Res, Rockville, MD 20850 USA</t>
  </si>
  <si>
    <t>Monterey Bay Aquarium Research Institute; Technion Israel Institute of Technology; University System of Maryland; University of Maryland Center for Environmental Science; University of Hawaii System; University of Hawaii Manoa; J. Craig Venter Institute</t>
  </si>
  <si>
    <t>DeLong, EF (corresponding author), Monterey Bay Aquarium Res Inst, 7700 Sandholdt Rd, Moss Landing, CA 95039 USA.</t>
  </si>
  <si>
    <t>Suzuki, Marcelino/D-3329-2009; chen, qi/C-8585-2011; Karl, David/AFP-3837-2022; de la Torre, Jose R/H-2081-2012</t>
  </si>
  <si>
    <t>Suzuki, Marcelino/0000-0003-3868-6362; de la Torre, Jose R/0000-0002-9553-6048; Karl, David/0000-0002-6660-6721; Heidelberg, John/0000-0003-0673-3224</t>
  </si>
  <si>
    <t>NATL ACAD SCIENCES</t>
  </si>
  <si>
    <t>2101 CONSTITUTION AVE NW, WASHINGTON, DC 20418 USA</t>
  </si>
  <si>
    <t>0027-8424</t>
  </si>
  <si>
    <t>P NATL ACAD SCI USA</t>
  </si>
  <si>
    <t>Proc. Natl. Acad. Sci. U. S. A.</t>
  </si>
  <si>
    <t>10.1073/pnas.2133554100</t>
  </si>
  <si>
    <t>738RF</t>
  </si>
  <si>
    <t>WOS:000186301100059</t>
  </si>
  <si>
    <t>Matsuoka, K; Furukawa, T; Fujita, S; Maeno, H; Uratsuka, S; Naruse, R; Watanabe, O</t>
  </si>
  <si>
    <t>Crystal orientation fabrics within the Antarctic ice sheet revealed by a multipolarization plane and dual-frequency radar survey</t>
  </si>
  <si>
    <t>ice-penetrating radar; internal layers</t>
  </si>
  <si>
    <t>CORE; TEXTURES</t>
  </si>
  <si>
    <t>[1] To investigate the viscosity structure of ice sheets induced by crystal orientation fabric (COF), we carried out a multipolarization plane and dual-frequency radar survey in East Antarctica. Radar surveys were done along a 670-km-long flow line from Dome Fuji toward the coast and two transverse lines of 300-km and 20-km length, respectively. The radar echoes were highly dependent on the polarization plane for ice depths between about 40 and 60% of the ice thickness in the lower reaches of the convergent ice flow sector approaching the outlet glacier. When the polarization was perpendicular to the ice flow, echoes were about 10 dB stronger than when the polarization was parallel to the ice flow. This feature was not clear in the upper part of this convergent flow sector. Farther inland, where ice flow is divergent or parallel, the radar echo varied by several decibels because of changes of the radar polarization and had maxima in two orientations. Dual-frequency data showed that the cause of the reflections was changes in COF. Multipolarization data identified anisotropic reflectivities and birefringence as causes of the anisotropic radar echoes in the lower and upper reaches, respectively. With the aid of ice-core-based studies on COF, we show that ice is composed of stacked layers of single-pole and vertical girdle fabrics in the lower reaches. In contrast, we argue that changes of single-pole clustering cause isotropic reflectivities in the upper reaches. We also discuss on the development of COF along ice flow and its implication to ice sheet dynamics.</t>
  </si>
  <si>
    <t>Hokkaido Univ, Inst Low Temp Sci, Sapporo, Hokkaido 0600819, Japan; Natl Inst Polar Res, Itabashi Ku, Tokyo 1738515, Japan; Hokkaido Univ, Grad Sch Engn, Dept Appl Phys, Sapporo, Hokkaido, Japan; Commun Res Labs, Tokyo 1848795, Japan</t>
  </si>
  <si>
    <t>Hokkaido University; Research Organization of Information &amp; Systems (ROIS); National Institute of Polar Research (NIPR) - Japan; Hokkaido University; National Institute of Information &amp; Communications Technology (NICT) - Japan</t>
  </si>
  <si>
    <t>matsuoka@ess.washington.edu; furukawa@pmgnipr.ac.jp; sfujita@pmg.nipr.ac.jp; maeno@crl.go.jp; pata@crl.go.jp; ren@pop.lowtem.hokudai.ac.jp; watanabe@nipr.ac.jp</t>
  </si>
  <si>
    <t>OCT 24</t>
  </si>
  <si>
    <t>B10</t>
  </si>
  <si>
    <t>10.1029/2003JB002425</t>
  </si>
  <si>
    <t>736YJ</t>
  </si>
  <si>
    <t>WOS:000186200600001</t>
  </si>
  <si>
    <t>Thomas, DN</t>
  </si>
  <si>
    <t>Iron limitation in the Southern Ocean</t>
  </si>
  <si>
    <t>ANTARCTIC SEA-ICE</t>
  </si>
  <si>
    <t>Univ Wales, Sch Ocean Sci, Menai Bridge LL59 5AB, Anglesey, Wales</t>
  </si>
  <si>
    <t>Thomas, DN (corresponding author), Univ Wales, Sch Ocean Sci, Menai Bridge LL59 5AB, Anglesey, Wales.</t>
  </si>
  <si>
    <t>Thomas, David Neville/B-1448-2010</t>
  </si>
  <si>
    <t>Thomas, David Neville/0000-0001-8832-5907</t>
  </si>
  <si>
    <t>735MV</t>
  </si>
  <si>
    <t>WOS:000186119900019</t>
  </si>
  <si>
    <t>Stenseth, NC; Ottersen, G; Hurrell, JW; Mysterud, A; Lima, M; Chan, KS; Yoccoz, NG; Ådlandsvik, B</t>
  </si>
  <si>
    <t>Studying climate effects on ecology through the use of climate indices:: the North Atlantic Oscillation, El Nino Southern Oscillation and beyond</t>
  </si>
  <si>
    <t>climate; teleconnections; time-series analysis; nonlinearity; terrestrial; marine</t>
  </si>
  <si>
    <t>GEOPOTENTIAL HEIGHT FIELD; ARCTIC OSCILLATION; EXTRATROPICAL CIRCULATION; ANTARCTIC OSCILLATION; ANNULAR MODES; VARIABILITY; TELECONNECTIONS; RECONSTRUCTION; DYNAMICS; SEASONALITY</t>
  </si>
  <si>
    <t>Whereas the El Nino Southern Oscillation (ENSO) affects weather and climate variability worldwide, the North Atlantic Oscillation (NAO) represents the dominant climate pattern in the North Atlantic region. Both climate systems have been demonstrated to considerably influence ecological processes. Several other large-scale climate patterns also exist. Although less well known outside the field of climatology, these patterns are also likely to be of ecological interest. We provide an overview of these climate patterns within the context of the ecological effects of climate variability. The application of climate indices by definition reduces complex space and time variability into simple measures, 'packages of weather'. The disadvantages of using global climate indices are all related to the fact that another level of problems are added to the ecology-climate interface, namely the link between global climate indices and local climate. We identify issues related to: (i) spatial variation; (ii) seasonality; (iii) non-stationarity; (iv) nonlinearity; and (v) lack of correlation in the relationship between global and local climate. The main advantages of using global climate indices are: (i) biological effects may be related more strongly to global indices than to any single local climate variable; (ii) it helps to avoid problems of model selection; (iii) it opens the possibility for ecologists to make predictions; and (iv) they are typically readily available on Internet.</t>
  </si>
  <si>
    <t>Univ Oslo, Dept Biol, Ctr Ecol &amp; Evolutionary Synth, N-0316 Oslo, Norway; Flodevigen Marine Res Stn, Inst Marine Res, Dept Coastal Zone Studies, N-4817 His, Norway; Inst Marine Res, N-5024 Bergen, Norway; Natl Ctr Atmospher Res, Boulder, CO 80307 USA; Pontificia Univ Catolica Chile, Ctr Adv Studies Ecol &amp; Biodivers, Santiago, Chile; Univ Iowa, Dept Stat &amp; Actuarial Sci, Iowa City, IA 52242 USA; Norwegian Inst Nat Res, Div Arctic Ecol, Polar Environm Ctr, N-9296 Tromso, Norway</t>
  </si>
  <si>
    <t>University of Oslo; Institute of Marine Research - Norway; Institute of Marine Research - Norway; National Center Atmospheric Research (NCAR) - USA; Pontificia Universidad Catolica de Chile; University of Iowa; Norwegian Institute Nature Research</t>
  </si>
  <si>
    <t>Univ Oslo, Dept Biol, Ctr Ecol &amp; Evolutionary Synth, POB 1050 Blindern, N-0316 Oslo, Norway.</t>
  </si>
  <si>
    <t>n.c.stenseth@bio.uio.no</t>
  </si>
  <si>
    <t>Mysterud, Atle/AFL-1958-2022; Yoccoz, Nigel Gille/A-1493-2008; Ottersen, Geir/F-4393-2014; Ottersen, Geir/AAS-3046-2020; Yoccoz, Nigel/C-8561-2014; Ottersen, Geir/B-2069-2008; Hurrell, James Wilson/JVN-0949-2024; Mysterud, Atle/AAQ-2864-2020; Ådlandsvik, Bjørn/AAD-6421-2019; Ottersen, Geir/M-9676-2019; Lima, Mauricio/F-2722-2013; Stenseth, Nils Christian/G-5212-2016</t>
  </si>
  <si>
    <t>Ottersen, Geir/0000-0002-9453-6679; Yoccoz, Nigel/0000-0003-2192-1039; Hurrell, James Wilson/0000-0002-3169-6384; Mysterud, Atle/0000-0001-8993-7382; Ottersen, Geir/0000-0002-9453-6679; Lima, Mauricio/0000-0002-3700-2945; Stenseth, Nils Christian/0000-0002-1591-5399</t>
  </si>
  <si>
    <t>1471-2954</t>
  </si>
  <si>
    <t>OCT 22</t>
  </si>
  <si>
    <t>10.1098/rspb.2003.2415</t>
  </si>
  <si>
    <t>734QA</t>
  </si>
  <si>
    <t>WOS:000186067000001</t>
  </si>
  <si>
    <t>Beig, G; Keckhut, P; Lowe, RP; Roble, RG; Mlynczak, MG; Scheer, J; Fomichev, VI; Offermann, D; French, WJR; Shepherd, MG; Semenov, AI; Remsberg, EE; She, CY; Lübken, FJ; Bremer, J; Clemesha, BR; Stegman, J; Sigernes, F; Fadnavis, S</t>
  </si>
  <si>
    <t>Review of mesospheric temperature trends -: art. no. 1015</t>
  </si>
  <si>
    <t>REVIEWS OF GEOPHYSICS</t>
  </si>
  <si>
    <t>temperature trends; thermal shrinking; mesosphere; greenhouse gases</t>
  </si>
  <si>
    <t>GENERAL-CIRCULATION MODEL; LOCAL-THERMODYNAMIC-EQUILIBRIUM; NOCTILUCENT CLOUD OCCURRENCE; MIDLATITUDE MESOPAUSE REGION; EQUATORIAL MIDDLE ATMOSPHERE; SOLAR ULTRAVIOLET VARIATIONS; ZONAL-MEAN CLIMATOLOGY; GRAVITY-WAVE ACTIVITY; LONG-TERM CHANGES; LOWER THERMOSPHERE</t>
  </si>
  <si>
    <t>[1] In recent times it has become increasingly clear that releases of trace gases from human activity have a potential for causing change in the upper atmosphere. However, our knowledge of systematic changes and trends in the temperature of the mesosphere and lower thermosphere is relatively limited compared to the Earth's lower atmosphere, and not much effort has been made to synthesize these results so far. In this article, a comprehensive review of long-term trends in the temperature of the region from 50 to 100 km is made on the basis of the available up-to-date understanding of measurements and model calculations. An objective evaluation of the available data sets is attempted, and important uncertainly factors are discussed. Some natural variability factors, which are likely to play a role in modulating temperature trends, are also briefly touched upon. There are a growing number of experimental results centered on, or consistent with, zero temperature trend in the mesopause region ( 80 - 100 km). The most reliable data sets show no significant trend but an uncertainty of at least 2 K/decade. On the other hand, a majority of studies indicate negative trends in the lower and middle mesosphere with an amplitude of a few degrees ( 2 - 3 K) per decade. In tropical latitudes the cooling trend increases in the upper mesosphere. The most recent general circulation models indicate increased cooling closer to both poles in the middle mesosphere and a decrease in cooling toward the summer pole in the upper mesosphere. Quantitatively, the simulated cooling trend in the middle mesosphere produced only by CO2 increase is usually below the observed level. However, including other greenhouse gases and taking into account a thermal shrinking of the upper atmosphere result in a cooling of a few degrees per decade. This is close to the lower limit of the observed nonzero trends. In the mesopause region, recent model simulations produce trends, usually below 1 K/decade, that appear to be consistent with most observations in this region.</t>
  </si>
  <si>
    <t>Indian Inst Trop Meteorol, Pune 411008, Maharashtra, India; Leibniz Inst Atmospher Phys, D-18255 Kuhlungborn, Germany; Inst Nacl Pesquisas Espaciais, BR-12245970 Sao Jose Dos Campos, Brazil; York Univ, Dept Earth &amp; Atmospher Sci, N York, ON M3J 1P3, Canada; Australian Antarctic Div, Atmospher &amp; Space Phys Grp, Kingston, Tas 7050, Australia; IPSL, Serv Aeron, F-91371 Verrieres Le Buisson, France; Univ Western Ontario, Ctr Res Earth &amp; Space Technol, London, ON M7A 3K7, Canada; NASA, Radiat &amp; Aerosol Branch, Langley Res Ctr, Hampton, VA 23681 USA; Berg Univ Wuppertal, Dept Phys, D-42097 Wuppertal, Germany; Natl Ctr Atmospher Res, High Altitude Observ, Boulder, CO 80307 USA; Inst Astron &amp; Fis Espacio, RA-1428 Buenos Aires, DF, Argentina; Russian Acad Sci, Obukhov Inst Atmospher Phys, Moscow 109017, Russia; Colorado State Univ, Dept Phys, Ft Collins, CO 80523 USA; York Univ, Dept Earth &amp; Atmospher Sci, Ctr Res Earth &amp; Space Sci, N York, ON M3J 1P3, Canada; Univ Courses Svalbard, N-9171 Longyearbyen, Norway; Stockholm Univ, Inst Meteorol, S-10691 Stockholm, Sweden</t>
  </si>
  <si>
    <t>Ministry of Earth Sciences (MoES) - India; Indian Institute of Tropical Meteorology (IITM); Leibniz Institut fur Atmospharenphysik e.V. an der Universitat Rostock (IAP); Instituto Nacional de Pesquisas Espaciais (INPE); York University - Canada; Australian Antarctic Division; Universite Paris Cite; Western University (University of Western Ontario); National Aeronautics &amp; Space Administration (NASA); NASA Langley Research Center; University of Wuppertal; National Center Atmospheric Research (NCAR) - USA; Instituto de Astronomia y Fisica del Espacio (IAFE); Russian Academy of Sciences; Obukhov Institute of Atmospheric Physics of Russian Academy of Sciences; Colorado State University; York University - Canada; Stockholm University</t>
  </si>
  <si>
    <t>Indian Inst Trop Meteorol, Pune 411008, Maharashtra, India.</t>
  </si>
  <si>
    <t>beig@tropmet.res.in; keckhut@aerov.jussieu.fr; lowe@physics.uwo.ca; roble@hoa.ucar.edu; m.g.mlynczak@larc.nasa.gov; jurgen@caerce.edu.ar; victor@nimbus.yorku.ca; offerm@uniwuppertal.de; john.french@aad.gov.au; marianna@stpl.cress.yorku.ca; meso@omega.ifaran.ru; e.e.remsberg@larc.nasa.gov; joeshe@lamar.colostate.edu; luebken@iap-kborn.de; bremer@iap-kborn.de; clem@laser.inpe.br; jacek@misu.su.se; Fred.Sigernes@unis.no; suvarna@tropmet.res.in</t>
  </si>
  <si>
    <t>Keckhut, Philippe/AFO-0077-2022; Fadnavis, Suvarna S/AAA-7485-2020; Mlynczak, Martin/K-3396-2012</t>
  </si>
  <si>
    <t>Fadnavis, Suvarna S/0000-0003-4442-0755; Beig, Gufran/0000-0002-5564-7210; French, John/0000-0001-9305-6190; Shepherd, Marianna/0000-0003-2731-8513</t>
  </si>
  <si>
    <t>8755-1209</t>
  </si>
  <si>
    <t>1944-9208</t>
  </si>
  <si>
    <t>REV GEOPHYS</t>
  </si>
  <si>
    <t>Rev. Geophys.</t>
  </si>
  <si>
    <t>10.1029/2002RG000121</t>
  </si>
  <si>
    <t>736YT</t>
  </si>
  <si>
    <t>WOS:000186201400001</t>
  </si>
  <si>
    <t>Sturrock, GA; Reeves, CE; Mills, GP; Penkett, SA; Parr, CR; McMinn, A; Corno, G; Tindale, NW; Fraser, PJ</t>
  </si>
  <si>
    <t>Saturation levels of methyl bromide in the coastal waters off Tasmania</t>
  </si>
  <si>
    <t>methyl bromide; seasonality; seawater saturation levels; temperate waters; Phaeocystis</t>
  </si>
  <si>
    <t>NORTH-ATLANTIC OCEAN; PACIFIC-OCEAN; MARINE-PHYTOPLANKTON; BIOLOGICAL PRODUCTION; SEAWATER; HALIDES; RATES; CHLOROPHYLL; CULTURES; CHLORIDE</t>
  </si>
  <si>
    <t>[1] Methyl bromide (CH3Br) was highly supersaturated for over 2 years in the surface coastal seawater off Tasmania. Persistent supersaturations were observed near to shore throughout the year with no evidence of a seasonal cycle. At the same time, a site farther offshore ( still under coastal influence) was also predominantly supersaturated but to a lesser extent. Notably, the annual pattern varied over the consecutive years covered in this systematic study. The observed supersaturations are in broad agreement with that which would be predicted by the relationships with the sea surface temperature (SST) derived by Groszko and Moore [1998] and King et al. [2000] for SSTs in the range of 12degrees to 20 degreesC, although not the seasonal variation predicted by King et al. [2002]. There is much variability, as expected, which is not explained by the SST relationships. The presence of the prymnesiophyte Phaeocystis is found to be related to the seawater concentrations of CH3Br in this work. Our results tentatively indicate that the release of CH3Br into the seawater may be a response to nitrate limiting conditions.</t>
  </si>
  <si>
    <t>Univ E Anglia, Sch Environm Sci, Norwich NR4 7TJ, Norfolk, England; CSIRO Atmospher Res, Aspendale, Vic 3195, Australia; Bur Meteorol, Cape Grim Baseline Air Pollut Stn, Smithton, Tas, Australia; Univ Tasmania, Inst Antarctic &amp; So Ocean Studies, Hobart, Tas 7330, Australia; Univ Sunshine Coast, Fac Sci, Maroochydore, Qld 4558, Australia</t>
  </si>
  <si>
    <t>University of East Anglia; Commonwealth Scientific &amp; Industrial Research Organisation (CSIRO); Bureau of Meteorology - Australia; University of Tasmania; University of the Sunshine Coast</t>
  </si>
  <si>
    <t>Sturrock, GA (corresponding author), Univ Western Australia, Water Res Ctr, Environm Res Lab, Crawley, SA 6009, Australia.</t>
  </si>
  <si>
    <t>Fraser, Paul J. B./D-1755-2012; Corno, Gianluca/K-1658-2018; McMinn, Andrew/A-9910-2008</t>
  </si>
  <si>
    <t>OCT 21</t>
  </si>
  <si>
    <t>10.1029/2002GB002024</t>
  </si>
  <si>
    <t>736XK</t>
  </si>
  <si>
    <t>WOS:000186198400002</t>
  </si>
  <si>
    <t>Stammerjohn, SE; Drinkwater, MR; Smith, RC; Liu, X</t>
  </si>
  <si>
    <t>Ice-atmosphere interactions during sea-ice advance and retreat in the western Antarctic Peninsula region</t>
  </si>
  <si>
    <t>ice-atmosphere interactions; ice motion; Antarctic sea ice; remote sensing</t>
  </si>
  <si>
    <t>SOUTHERN-OCEAN CLIMATE; SEMIANNUAL OSCILLATION; BELLINGSHAUSEN SEAS; AMUNDSEN SEAS; WEDDELL SEA; TEMPERATURE-GRADIENTS; CIRCUMPOLAR WAVE; AIR-TEMPERATURE; SNOW COVER; OPEN WATER</t>
  </si>
  <si>
    <t>[1] The seasonal evolution of sea-ice extent, concentration, and drift in the western Antarctic Peninsula (WAP) region, along with regional atmospheric synoptic variability, are described for a winter period ( 1992) when sea-ice advance and retreat were both anomalously early. Daily time series of winds, opening and closing of the sea-ice cover, and volume fluxes in and out of the WAP region indicate that synoptic variability in meridional winds determines whether the ice-edge advances or retreats on daily to weekly timescales. The importance of this finding is that the dynamics, as opposed to the thermodynamics, initiate, and thereby dominate, in the production of ice-edge anomalies. Further, the abrupt mid-winter shift from persistently positive to negative ice-edge anomalies indicates that there was a distinct change in the regional atmospheric circulation. The ice-atmosphere interactions in the winter of 1992 are then compared to those in the winter of 1990, when sea-ice advance and retreat were both late instead of early, but again the mid-winter shift was abrupt. The comparison highlights possible circumpolar and tropical-polar atmospheric linkages in the South Pacific that involve changes in the amplitude/phase of the semi-annual oscillation (SAO), which in turn appear to be related to El Nino-Southern Oscillation (ENSO) changes in the tropical Pacific. The implication of a dynamically driven ice-atmosphere system, together with an intraseasonal ENSO linkage, further supports the idea that the WAP region is particularly sensitive to changes in the tropical Pacific.</t>
  </si>
  <si>
    <t>Columbia Univ, Lamont Doherty Earth Observ, Dept Earth &amp; Environm Sci, Palisades, NY 10964 USA; European Space Agcy, ESTEC, FSO, EOP,Oceans Ice Unit, NL-2200 AG Noordwijk ZH, Netherlands; Inst Computat Earth Syst Sci, Santa Barbara, CA 93106 USA; CALTECH, Jet Prop Lab, Pasadena, CA 91009 USA</t>
  </si>
  <si>
    <t>Columbia University; European Space Agency; National Aeronautics &amp; Space Administration (NASA); NASA Jet Propulsion Laboratory (JPL); California Institute of Technology</t>
  </si>
  <si>
    <t>Columbia Univ, Lamont Doherty Earth Observ, Dept Earth &amp; Environm Sci, Palisades, NY 10964 USA.</t>
  </si>
  <si>
    <t>sharons@ldeo.columbia.edu; mark.drinkwater@esa.int; ray@icess.ucsb.edu; xiang.liu@jpl.nasa.gov</t>
  </si>
  <si>
    <t>; Drinkwater, Mark/C-2478-2011</t>
  </si>
  <si>
    <t>STAMMERJOHN, SHARON/0000-0002-1697-8244; Drinkwater, Mark/0000-0002-9250-3806</t>
  </si>
  <si>
    <t>C10</t>
  </si>
  <si>
    <t>10.1029/2002JC001543</t>
  </si>
  <si>
    <t>736XV</t>
  </si>
  <si>
    <t>WOS:000186199300002</t>
  </si>
  <si>
    <t>Christeson, GL; Barker, DHN; Austin, JA; Dalziel, IWD</t>
  </si>
  <si>
    <t>Deep crustal structure of Bransfield Strait: Initiation of a back arc basin by rift reactivation and propagation</t>
  </si>
  <si>
    <t>Bransfield; back arc; OBS; crustal thickness</t>
  </si>
  <si>
    <t>ATLANTIC CONTINENTAL-MARGIN; RIO-GRANDE RIFT; ANTARCTIC PENINSULA; SEISMIC STRUCTURE; WEST ANTARCTICA; OCEAN-BOTTOM; EVOLUTION; PACIFIC; MANTLE; PLATE</t>
  </si>
  <si>
    <t>[1] We present the results of a wide-angle seismic survey, consisting of a grid of five strike and three dip profiles, conducted in Bransfield Strait, Antarctica. We used a combination of two-dimensional seismic tomography and ray tracing to constrain velocity structure in the region. Thinnest crust is located within the interpreted neovolcanic zone, but the crustal thickness of 10 - 15 km indicates that rifting has not progressed to the formation of normal oceanic crust. Crust thickens to 20 - 26 km along the South Shetland Islands pedestal and to 14 - 20 km along the Antarctic Peninsula margin. Along-strike, crust generally thickens from the NE to the SW. In the across-strike direction, crustal thinning is observed over a broader area in the NE than in the SW. The observed crustal thickness pattern is consistent with propagation of extension from the NE toward the SW. Upper mantle velocities of 7.45 +/- 0.2 km/s indicate either the presence of a small amount of partial melt or normal upper mantle anisotropy with the slow direction parallel to the rift axis. Large lateral changes in upper crustal velocities along the Antarctic Peninsula margin correspond with seismically imaged structural boundaries. There is no correlation between these structural boundaries and large velocity changes or morphologic steps observed within the present-day neovolcanic zone. We suggest that the rift topography now characterizing the Antarctic Peninsula margin formed prior to the formation of the modern basin.</t>
  </si>
  <si>
    <t>Univ Texas, Inst Geophys, Austin, TX 78759 USA</t>
  </si>
  <si>
    <t>Univ Texas, Inst Geophys, 4412 Spicewood Springs Rd,Bldg 600, Austin, TX 78759 USA.</t>
  </si>
  <si>
    <t>gail@ig.utexas.edu; d.barker@gns.cri.nz; jamie@utig.ig.utexas.edu; ian@ig.texas.edu</t>
  </si>
  <si>
    <t>Dalziel, Ian W. D./G-5926-2010; Christeson, Gail/R-3777-2019; Christeson, Gail L/B-9967-2008; Austin, James/G-6135-2010</t>
  </si>
  <si>
    <t>Christeson, Gail/0000-0002-4749-4429;</t>
  </si>
  <si>
    <t>10.1029/2003JB002468</t>
  </si>
  <si>
    <t>736YG</t>
  </si>
  <si>
    <t>WOS:000186200400004</t>
  </si>
  <si>
    <t>Mueller, DR; Vincent, WF; Jeffries, MO</t>
  </si>
  <si>
    <t>Break-up of the largest Arctic ice shelf and associated loss of an epishelf lake</t>
  </si>
  <si>
    <t>ANTARCTIC PENINSULA; SNOWBALL EARTH; LIFE; DYNAMICS</t>
  </si>
  <si>
    <t>[1] Field observations and RADARSAT imagery of the Ward Hunt Ice Shelf (lat. 83degreesN, long. 74degreesW), Nunavut, Canada, show that it broke in two over the period 2000 to 2002, with additional fissuring and further ice island calving. The fracturing caused the drainage of an ice-dammed epishelf lake (Disraeli Fiord), a rare ecosystem type. Reductions in the freshwater volume of Disraeli Fiord occurred from 1967 to the present and accompanied a significant rise in mean annual air temperature over the same period in this far northern region. The recent collapse of ice shelves in West Antarctica has been interpreted as evidence of accelerated climate change in that region. Similarly, the inferred thinning and observed fragmentation of the ice shelf, plus the drainage of the epishelf lake, are additional evidence for climate change in the High Arctic.</t>
  </si>
  <si>
    <t>Univ Laval, Ctr Etud Nord, Quebec City, PQ, Canada; Univ Alaska Fairbanks, Inst Geophys, Fairbanks, AK 99775 USA</t>
  </si>
  <si>
    <t>Laval University; University of Alaska System; University of Alaska Fairbanks</t>
  </si>
  <si>
    <t>Mueller, DR (corresponding author), Univ Laval, Ctr Etud Nord, Quebec City, PQ, Canada.</t>
  </si>
  <si>
    <t>Vincent, Warwick F/C-9522-2009; Vincent, Warwick/AAH-6152-2019</t>
  </si>
  <si>
    <t>Vincent, Warwick/0000-0001-9055-1938; Mueller, Derek/0000-0003-1974-319X</t>
  </si>
  <si>
    <t>OCT 18</t>
  </si>
  <si>
    <t>10.1029/2003GL017931</t>
  </si>
  <si>
    <t>734ZA</t>
  </si>
  <si>
    <t>WOS:000186086800002</t>
  </si>
  <si>
    <t>Zhang, SQ; Wang, YT; Tang, YR</t>
  </si>
  <si>
    <t>Studies of some ultratrace elements in antarctic water via crown ether crosslinked chitosan</t>
  </si>
  <si>
    <t>JOURNAL OF APPLIED POLYMER SCIENCE</t>
  </si>
  <si>
    <t>crosslinking; adsorption</t>
  </si>
  <si>
    <t>A new type of crown ether crosslinked chitosan was prepared by the reaction of chitosan with synthesized 4,4'-dibromodibenzo-18-crown-6. Its adsorption behaviors for some ultratrace elements at different sites in Antarctica were studied. The results indicated that the adsorption rates were greater than 95% at pH 7.5, the enrichment factor of the ultraelements was greater than 50, and the detection limits of graphite furnace atomic absorption spectroscopy were improved greatly. The proper analysis conditions were examined, and a new method of detecting ultratrace elements in environmental water samples with dibromodibenzo-18-crown-6 crosslinked chitosan was developed. In addition, the elements could easily be eluted off after absorption by dibenzo-18-crown-6 crosslinked chitosan, and so it is possible for this method to be used as a routine and valuable analysis method in environmental inspections. (C) 2003 Wiley Periodicals, Inc.</t>
  </si>
  <si>
    <t>Wuhan Univ, Coll Resource &amp; Environm Sci, Wuhan 430072, Hebei, Peoples R China</t>
  </si>
  <si>
    <t>Wang, YT (corresponding author), Wuhan Univ, Coll Resource &amp; Environm Sci, Wuhan 430072, Hebei, Peoples R China.</t>
  </si>
  <si>
    <t>JOHN WILEY &amp; SONS INC</t>
  </si>
  <si>
    <t>111 RIVER ST, HOBOKEN, NJ 07030 USA</t>
  </si>
  <si>
    <t>0021-8995</t>
  </si>
  <si>
    <t>J APPL POLYM SCI</t>
  </si>
  <si>
    <t>J. Appl. Polym. Sci.</t>
  </si>
  <si>
    <t>OCT 17</t>
  </si>
  <si>
    <t>10.1002/app.12582</t>
  </si>
  <si>
    <t>Polymer Science</t>
  </si>
  <si>
    <t>714YU</t>
  </si>
  <si>
    <t>WOS:000184943400027</t>
  </si>
  <si>
    <t>Clilverd, MA; Menk, FW; Milinevski, G; Sandel, BR; Goldstein, J; Reinisch, BW; Wilford, CR; Rose, MC; Thomson, NR; Yearby, KH; Bailey, GJ; Mann, IR; Carpenter, DL</t>
  </si>
  <si>
    <t>In situ and ground-based intercalibration measurements of plasma density at L=2.5 -: art. no. 1365</t>
  </si>
  <si>
    <t>plasmasphere; inner magnetosphere; plasma density; imaging; remote sensing; ground-based</t>
  </si>
  <si>
    <t>MAGNETIC-FIELD LINES; ELECTRON-DENSITY; MASS DENSITY; IMAGE; MODEL; LATITUDE; EIGENFREQUENCIES; PROFILES; HE+</t>
  </si>
  <si>
    <t>[1] Two independent ground-based experiments and two satellite-borne experiments are used to interpret the changes in plasmaspheric composition at the same point in space during moderate geomagnetic activity on 22 January and 14 February 2001. Mass density at L = 2.5 was determined from an array of magnetometers on the Antarctic Peninsula, while the electron number density along the same flux tube was determined from analysis of the group delay of man-made VLF transmissions from north-east America. The IMAGE satellite RPI experiment provided in situ measurements of the electron number density in passing the equatorial region of the same field line, while the EUV Imager experiment was able to resolve the He+ abundance by looking back toward the same place a few hours later. On 22 January 2001 all measurements were consistent with a moderately disturbed plasmasphere. On 14 February 2001 there appeared to be a significant response of the plasmasphere to the moderate (K-p = 5) activity levels. Both the electron number density and the mass density determined from the ground-based experiments were markedly higher than on 22 January 2001. Also, the IMAGE RPI gave a markedly lower electron number density than did the ground-based data; this is explained by differences in the longitude at which the measurements were made and the presence of localized plasmaspheric structures. At Antarctic Peninsula longitudes a He+ column abundance value of 6 x 10(10) cm(-2) is found to be equivalent to plasmaspheric electron density levels of 3000 cm(-3) at L = 2.5. For these conditions the He+ mass abundance was about 12-16% compared with H+. Both decreases and increases in the He+ column abundance measured by the EUV Imager appear to be linearly correlated to changes in the percentage occurrence of He+ as determined from a combination of ground-based VLF and ULF observations.</t>
  </si>
  <si>
    <t>British Antarctic Survey, Cambridge CB3 0ET, England; Univ Sheffield, Dept Appl Math, Space &amp; Atmospher Res Grp, Sheffield S3 7RH, S Yorkshire, England; Stanford Univ, Dept Elect Engn, STAR Lab, Stanford, CA 94305 USA; Rice Univ, Rice Space Inst, Houston, TX 77005 USA; Univ York, Dept Phys, York YO10 5DD, N Yorkshire, England; Univ Newcastle, Sch Math &amp; Phys Sci, Newcastle, NSW 2308, Australia; Univ Newcastle, Cooperat Res Ctr Satellite Syst, Newcastle, NSW 2308, Australia; Ukrainian Antarctic Ctr, UA-01601 Kiev, Ukraine; Univ Massachusetts, Ctr Atmospher Res, Lowell, MA 01854 USA; Univ Arizona, Lunar &amp; Planetary Lab, Tucson, AZ 85721 USA; Univ Otago, Dept Phys, Dunedin, New Zealand; Univ Sheffield, Dept ACSE, Instrumentat Grp, Sheffield S1 3JD, S Yorkshire, England</t>
  </si>
  <si>
    <t>UK Research &amp; Innovation (UKRI); Natural Environment Research Council (NERC); NERC British Antarctic Survey; University of Sheffield; Stanford University; Rice University; University of York - UK; University of Newcastle; University of Newcastle; Ministry of Education &amp; Science of Ukraine; State Institution National Antarctic Scientific Center; University of Massachusetts System; University of Massachusetts Lowell; University of Arizona; University of Otago; University of Sheffield</t>
  </si>
  <si>
    <t>macl@bas.ac.uk; fred.menk@newcastle.edu.au; antarc@carrier.kiev.ua; sandel@arizona.edu; jerru@hydra.rice.edu; bodo_reinisch@uml.edu; c.wilford@sheffield.ac.uk; mcr@bas.ac.uk; thomson@physics.otago.ac.uk; k.yearby@sheffield.ac.uk; g.bailey@sheffield.ac.uk; ian@aurora.york.ac.uk; dlc@nova.stanford.edu</t>
  </si>
  <si>
    <t>Milinevsky, Gennadi/AAD-8801-2019; Menk, Frederick/A-2640-2009</t>
  </si>
  <si>
    <t>Milinevsky, Gennadi/0000-0002-2342-2615; Menk, Frederick/0000-0002-1154-6223</t>
  </si>
  <si>
    <t>A10</t>
  </si>
  <si>
    <t>10.1029/2003JA009866</t>
  </si>
  <si>
    <t>735AT</t>
  </si>
  <si>
    <t>WOS:000186090700001</t>
  </si>
  <si>
    <t>Pringle, DJ; Dickinson, WW; Trodahl, HJ; Pyne, AR</t>
  </si>
  <si>
    <t>Depth and seasonal variations in the thermal properties of Antarctic Dry Valley permafrost from temperature time series analysis</t>
  </si>
  <si>
    <t>Antarctica; thermal properties of frozen ground; permafrost</t>
  </si>
  <si>
    <t>MIOCENE GLACIER ICE; SOIL-TEMPERATURE; BEACON VALLEY; DIFFUSIVITY; SUBLIMATION; TRANSPORT</t>
  </si>
  <si>
    <t>[1] We present the first dedicated study of the thermal properties of perennially frozen, ice-cemented, subsurface Dry Valley permafrost. From time series analysis of 14 months' temperature measurements, we resolve depth and seasonal variations in the thermal properties at two nearby sites at Table Mountain with different origin, composition, and polygonal ground patterning. We determine apparent thermal diffusivity (ATD) profiles directly from thermistor array measurements at 13.5-cm-depth intervals and 4-hour time intervals in the top 2 m. We treat the system as purely conductive year round due to the cold temperatures and compare the performance of several common analysis schemes with a graphical finite difference method that we present in detail. This comparison is facilitated by one site showing strong depth variations including an abrupt twofold increase in ATD across a sharp compositional boundary. We characterize the composition of the inhomogeneous ground from recovered cores and estimate an ice-fraction-dependent heat capacity in the range C = 1.7 +/- 0.1 to 1.8 +/- 0.1 MJ m(-3) degreesC(-1). We calculate apparent thermal conductivity profiles that correlate very well with the core compositions. The conductivity generally lies in the range 2.5 +/- 0.5 W m(-1) degreesC(-1) but is as high as 4.1 +/- 0.4 W m(-1) degreesC(-1) for a quartose Sirius sandstone unit at one site. The seasonal variation in the ATD is consistent with its expected temperature dependence.</t>
  </si>
  <si>
    <t>Victoria Univ Wellington, Sch Chem &amp; Phys Sci, Wellington, New Zealand; Victoria Univ Wellington, Antarctic Res Ctr, Wellington, New Zealand</t>
  </si>
  <si>
    <t>Victoria University Wellington; Victoria University Wellington</t>
  </si>
  <si>
    <t>Victoria Univ Wellington, Sch Chem &amp; Phys Sci, POB 600, Wellington, New Zealand.</t>
  </si>
  <si>
    <t>pringldani@student.vuw.ac.nz; warren.dickinson@vuw.ac.nz</t>
  </si>
  <si>
    <t>OCT 16</t>
  </si>
  <si>
    <t>10.1029/2002JB002364</t>
  </si>
  <si>
    <t>735AL</t>
  </si>
  <si>
    <t>WOS:000186090100006</t>
  </si>
  <si>
    <t>Thorseth, IH; Pedersen, RB; Christie, DM</t>
  </si>
  <si>
    <t>Microbial alteration of 0-30-Ma seafloor and sub-seafloor basaltic glasses from the Australian Antarctic Discordance</t>
  </si>
  <si>
    <t>biosphere; microbes; ocean crust; ODP Leg 187; textures</t>
  </si>
  <si>
    <t>OCEAN CRUST</t>
  </si>
  <si>
    <t>Scanning electron microscopic observations of alteration rims in basaltic glasses dredged from 0-2.5-Ma seafloor and drilled from 18-28-Ma ocean crust (Ocean Drilling Program (ODP) Leg 187) in the Australian Antarctic Discordance (AAD) document the presence of endolithic microbes in altered basalt glass. In very young AAD lavas, similar to10-mum-thick alteration rims are developed along intersecting fractures and cracks, and the altered glass contains numerous spherical, rod- and star-shaped, partially fossilised microbial cells, similar to those from the Arctic ridges [1,2]. In 2.5-Ma basalt glasses, altered rims are up to 250 gm thick, and zeolite (phillipsite) is present within many fractures. Spherical cells occur in porous outer zones of alteration rims and on zeolite crystal surfaces within fractures, indicating that microbial activity persists in the region for at least 2.5 Ma. Mn-rich microbial cell-encrustations associated with zeolite suggest that Mn is used in an energy yielding metabolic process. Combined with recent results from the Arctic ridges the results from this study demonstrate that endolithic microbial growth is a persistent feature of mid-ocean spreading ridges. In glasses from ODP cores, similar to1-mm-thick alteration rims are developed along the widest fractures lined with Mn(Fe)-oxyhydroxides and/or clay and filled by zeolite and calcite. Most common, however, are &lt; 10-200-mum-thick rims developed along zeolite-filled, more narrow fractures and cracks. Zeolite-filled fractures with only minor to no alteration indicate several episodes of fracturing followed by relatively fast sealing. There is no age progression in alteration thickness along fractures or other characteristics, suggesting that alteration is essentially completed between 2.5 and 18 Ma. A comparison of alteration in the 2.5-Ma glass with that in the ODP samples indicates that a significant proportion of the glass alteration in the drilled samples developed prior to burial, although one type of diffuse, highly irregular front that is only observed in the ODP samples most likely developed after burial. These diffuse alteration fronts are caused by dissolution and alteration of the glass into minute globules, 0.05-0.2 mum in diameter, with no associated microbial morphologies. Fossilised, Mn-rich cells do occur within zeolite-filled fractures, possibly indicating that microbial activity continued in the fractures for as long as circulation continued. The apparent non-biological origin of diffuse, irregular alteration fronts in buried AAD glasses indicates that these textural features are not reliable as diagnostic criteria for the existence of a deep biosphere in the volcanic ocean crust. (C) 2003 Elsevier B.V. All rights reserved.</t>
  </si>
  <si>
    <t>Univ Bergen, Dept Earth Sci, N-5007 Bergen, Norway; Oregon State Univ, Coll Ocean &amp; Atmospher Sci, Corvallis, OR 97331 USA</t>
  </si>
  <si>
    <t>University of Bergen; Oregon State University</t>
  </si>
  <si>
    <t>Univ Bergen, Dept Earth Sci, Allegt 41, N-5007 Bergen, Norway.</t>
  </si>
  <si>
    <t>ingunn.thorseth@geo.uib.no; rolf.pedersen@geo.uib.no; dchristie@coas.oregonstate.edu</t>
  </si>
  <si>
    <t>Pedersen, Rolf B/A-8405-2013</t>
  </si>
  <si>
    <t>OCT 15</t>
  </si>
  <si>
    <t>10.1016/S0012-821X(03)00427-8</t>
  </si>
  <si>
    <t>735EH</t>
  </si>
  <si>
    <t>WOS:000186099100016</t>
  </si>
  <si>
    <t>Vidal, O; Wendt, AS; Chadderton, LT</t>
  </si>
  <si>
    <t>Further discussion on the pressure dependence of fission track annealing in apatite: reply to the critical comment of Kohn et al.</t>
  </si>
  <si>
    <t>fission tracks; apatite; annealing; temperature; pressure; stress; anisotropy; defects; diffusion; geochronology</t>
  </si>
  <si>
    <t>KINETICS; VARIABILITY; DEPTH; MODEL</t>
  </si>
  <si>
    <t>Univ Grenoble 1, LGCA, CNRS, UMR 5025, F-38041 Grenoble 09, France; British Antarctic Survey, Geosci Div, Cambridge CB3 0ET, England; Australian Natl Univ, Inst Adv Studies, Res Sch Phys Sci &amp; Engn, Atom Lab, Canberra, ACT 0020, Australia; Australian Natl Univ, Inst Adv Studies, Res Sch Phys Sci &amp; Engn, Mol Phys Lab, Canberra, ACT 0020, Australia; Univ Cambridge, Cavendish Lab, Cambridge CB3 0ET, England</t>
  </si>
  <si>
    <t>Centre National de la Recherche Scientifique (CNRS); Communaute Universite Grenoble Alpes; Universite Grenoble Alpes (UGA); UK Research &amp; Innovation (UKRI); Natural Environment Research Council (NERC); NERC British Antarctic Survey; Australian National University; Australian National University; University of Cambridge</t>
  </si>
  <si>
    <t>Vidal, O (corresponding author), Univ Grenoble 1, LGCA, CNRS, UMR 5025, 1381 Rue Piscine,BP53, F-38041 Grenoble 09, France.</t>
  </si>
  <si>
    <t>olivier.vidal@ujf-grenoble.fr</t>
  </si>
  <si>
    <t>vidal, olivier/E-7285-2012</t>
  </si>
  <si>
    <t>10.1016/S0012-821X(03)00434-5</t>
  </si>
  <si>
    <t>WOS:000186099100022</t>
  </si>
  <si>
    <t>Atwater-Singer, M</t>
  </si>
  <si>
    <t>The last great quest: Captain Scott's Antarctic sacrifice.</t>
  </si>
  <si>
    <t>LIBRARY JOURNAL</t>
  </si>
  <si>
    <t>Univ Evansville, Lib, Evansville, IN 47702 USA</t>
  </si>
  <si>
    <t>University of Evansville</t>
  </si>
  <si>
    <t>Atwater-Singer, M (corresponding author), Univ Evansville, Lib, Evansville, IN 47702 USA.</t>
  </si>
  <si>
    <t>BOWKER MAGAZINE GROUP CAHNERS MAGAZINE DIVISION</t>
  </si>
  <si>
    <t>249 W 17TH ST, NEW YORK, NY 10011 USA</t>
  </si>
  <si>
    <t>0363-0277</t>
  </si>
  <si>
    <t>LIBR J</t>
  </si>
  <si>
    <t>Libr. J.</t>
  </si>
  <si>
    <t>729CL</t>
  </si>
  <si>
    <t>WOS:000185753700135</t>
  </si>
  <si>
    <t>Handwerger, DA; Jarrard, RD</t>
  </si>
  <si>
    <t>Neogene changes in Southern Ocean sedimentation based on mass accumulation rates at four continental margins</t>
  </si>
  <si>
    <t>mass accumulation rate; Southern Ocean; Neogene; Ocean Drilling Pprogram; logging</t>
  </si>
  <si>
    <t>ANTARCTIC ICE-SHEET; SOUTHWEST PACIFIC-OCEAN; CIRCUMPOLAR CURRENT; MARINE-SEDIMENTS; STABLE ISOTOPE; NEW-ZEALAND; DEEP-SEA; RECORD; EROSION; PALEOCEANOGRAPHY</t>
  </si>
  <si>
    <t>[1] High-resolution mass accumulation rates (MAR) were determined from lithologic logs based on downhole log and continuous core data for six sites at four continental margins around the Southern Ocean. Total MAR was calculated at Ocean Drilling Program (ODP) Site 1095 on the margin of the Antarctic Peninsula and ODP Site 1165 on the margin of Prydz Bay, Antarctica. Carbonate and noncarbonate (terrigenous) MAR were calculated for ODP Sites 1123 and 1124 east of New Zealand and Sites 1168 and 1172 west and southeast of Tasmania. Shifts in carbonate MAR are seen around Tasmania and New Zealand at 23 and 14 Ma, suggesting changes in deep water circulation and surface carbonate productivity at these times. Carbonate MAR dropped at Sites 1124 and 1168 at 23 Ma and increased at 14 Ma at Sites 1123, 1168, and 1172. The overall character of total MAR at Antarctic Sites 1095 and 1165 is a continual and relatively constant decrease in total MAR during the Neogene, with periods of stepwise decrease. One such decrease is seen at 14 Ma at Site 1165, coincident with increased carbonate MAR in New Zealand and Tasmania (Sites 1123, 1124, 1168 and 1172) and likely related to mid-Miocene expansion of the East Antarctic Ice Sheet. Another step drop in total MAR is seen at similar to9 Ma at Site 1165, possibly reflecting diversion of sediment to a newly formed Prydz Channel fan.</t>
  </si>
  <si>
    <t>Univ Utah, Dept Geol &amp; Geophys, Salt Lake City, UT 84112 USA</t>
  </si>
  <si>
    <t>Utah System of Higher Education; University of Utah</t>
  </si>
  <si>
    <t>Univ Utah, Dept Geol &amp; Geophys, 135 S 1460 E,Room 719, Salt Lake City, UT 84112 USA.</t>
  </si>
  <si>
    <t>dahandwe@mines.utah.edu; jarrard@mail.mines.utah.edu</t>
  </si>
  <si>
    <t>10.1029/2002PA000850</t>
  </si>
  <si>
    <t>735AW</t>
  </si>
  <si>
    <t>WOS:000186090900001</t>
  </si>
  <si>
    <t>Lisker, F; Brown, R; Fabel, D</t>
  </si>
  <si>
    <t>Denudational and thermal history along a transect across the Lambert Graben, northern Prince Charles Mountains, Antarctica, derived from apatite fission track thermochronology</t>
  </si>
  <si>
    <t>Gondwana; landscape evolution; paleotemperature; rifting</t>
  </si>
  <si>
    <t>EAST-ANTARCTICA; MACROBERTSON-LAND; HEAT-FLOW; LAKE AREA; GONDWANA; INDIA; BASIN; RIFT; TOPOGRAPHY; SYSTEM</t>
  </si>
  <si>
    <t>[1] The denudational history along a transect across the western margin of the Lambert Graben, northern Prince Charles Mountains, East Antarctica, is quantified on the basis of thermal history modeling of apatite fission track data from four vertical profiles. Early Cretaceous paleogeothermal gradients estimated from the fission track data increase from similar to19degreesC km(-1) similar to50 km west of the rift margin to similar to29degreesC km(-1) within the immediate vicinity of the western master fault. Two discrete phases of enhanced denudation during the Phanerozoic are inferred for the western rift margin. The first occurred during the early Paleozoic, with minimum denudation of between 1.6 and 5.0 km, which is broadly coeval with initial rifting and the major period of Permo-Triassic sedimentation within the Lambert Graben. The formation of the graben was related to the formation of the ancestral Gamburtsev Mountains due to Variscan compression and substantial crustal thickening of the East Antarctic Craton. The second phase of denudation commenced in the Early Cretaceous, with estimated amounts ranging between 1.0 and 4.5 km, generally increasing toward the rift margin, with the maximum total denudation occurring similar to20 km west of the western master fault of the graben. The Early Cretaceous phase of denudation was probably related to tectonic reactivation of the earlier Permo-Triassic rift during the initial separation of the Indian and Antarctic sector of Gondwana.</t>
  </si>
  <si>
    <t>Univ Bremen, Dept Earth Sci, Fachbereich Geowissensch, D-28334 Bremen, Germany; Univ Melbourne, Sch Earth Sci, Melbourne, Vic 3010, Australia; Australian Natl Univ, Res Sch Earth Sci, Canberra, ACT 0200, Australia</t>
  </si>
  <si>
    <t>University of Bremen; University of Melbourne; Melbourne Bioinformatics; Australian National University</t>
  </si>
  <si>
    <t>Lisker, F (corresponding author), Univ Bremen, Dept Earth Sci, Fachbereich Geowissensch, Postfach 330 440, D-28334 Bremen, Germany.</t>
  </si>
  <si>
    <t>Fabel, Derek/A-2999-2010</t>
  </si>
  <si>
    <t>Fabel, Derek/0000-0003-2859-3293; Lisker, Frank/0000-0002-1615-7315</t>
  </si>
  <si>
    <t>10.1029/2002TC001477</t>
  </si>
  <si>
    <t>735BC</t>
  </si>
  <si>
    <t>WOS:000186091300003</t>
  </si>
  <si>
    <t>Grinsted, A; Moore, J; Spikes, VB; Sinisalo, A</t>
  </si>
  <si>
    <t>Dating Antarctic blue ice areas using a novel ice flow model</t>
  </si>
  <si>
    <t>We present a new type of flow model suitable for Antarctic blue ice areas, with application to dating ice for paleoclimate purposes. The volume conserving model uses field data for surface velocities, mass balance and ice thickness along a flow line, with parameterized variation of ice rheology with depth to produce particle trajectories and isochrones. The model is tested on the contrasting Allan Hills Near Western Ice Field and the Scharffenbergbotnen blue ice fields in Antarctica by comparing predicted ages with ages inferred from meteorites and C-14 data. During the glacial periods, ice surface velocities at the Allan Hills must have been 25% less, and accumulation rates 50% less than present day values in order to match meteorite ages. In contrast, Scharffenbergbotnen velocities have probably been fairly constant over time due to the atypical valley where it resides.</t>
  </si>
  <si>
    <t>Univ Lapland, Arctic Ctr, FIN-96101 Rovaniemi, Finland; Univ Oulu, Dept Geophys, Oulu, Finland; Univ Maine, Dept Earth Sci, Orono, ME 04469 USA; Univ Maine, Climate Change Inst, Orono, ME 04469 USA</t>
  </si>
  <si>
    <t>University of Lapland; University of Oulu; University of Maine System; University of Maine Orono; University of Maine System; University of Maine Orono</t>
  </si>
  <si>
    <t>Univ Lapland, Arctic Ctr, POB 122, FIN-96101 Rovaniemi, Finland.</t>
  </si>
  <si>
    <t>ag@glaciology.net</t>
  </si>
  <si>
    <t>Grinsted, Aslak/J-9273-2012; Moore, John C/B-2868-2013</t>
  </si>
  <si>
    <t>Grinsted, Aslak/0000-0003-1634-6009; Moore, John C/0000-0001-8271-5787; Sinisalo, Anna/0000-0002-7587-1877</t>
  </si>
  <si>
    <t>OCT 11</t>
  </si>
  <si>
    <t>10.1029/2003GL017957</t>
  </si>
  <si>
    <t>732EB</t>
  </si>
  <si>
    <t>WOS:000185926900002</t>
  </si>
  <si>
    <t>Arrigo, KR; Robinson, DH; Dunbar, RB; Leventer, AR; Lizotte, MP</t>
  </si>
  <si>
    <t>Physical control of chlorophyll a, POC, and TPN distributions in the pack ice of the Ross Sea, Antarctica -: art. no. 3316</t>
  </si>
  <si>
    <t>sea ice; algae; Antarctic; nutrients; ecosystem</t>
  </si>
  <si>
    <t>PHOTOSYNTHESIS-IRRADIANCE RELATIONSHIPS; SPRING PHYTOPLANKTON BLOOM; DENSE MICROALGAL BLOOM; SAROMA-KO LAGOON; TERRA-NOVA BAY; MCMURDO-SOUND; WEDDELL-SEA; MICROBIAL COMMUNITIES; THICKNESS DISTRIBUTION; PHAEOCYSTIS-POUCHETII</t>
  </si>
  <si>
    <t>The pack ice ecosystem of the Ross Sea was investigated along a 1470-km north-south transect during the spring 1998 oceanographic program Research on Ocean-Atmosphere Variability and Ecosystem Response in the Ross Sea (ROAVERRS). Snow and sea ice thickness along the transect varied latitudinally, with thinner snow and ice at the northern ice edge and thin new ice in the vicinity of the Ross Sea polynya. Relative to springtime observations in other sea ice regions, algal chlorophyll a (Chl a) concentrations were low. In contrast, particulate organic carbon (POC), total particulate nitrogen (TPN), and POC:Chl a were all high, indicating either that the ice contained substantial amounts of detritus or nonphotosynthetic organisms, or that the algae had a high POC: Chl a ratio. The abundance of Chl a, POC, and TPN in the sea ice was related to ice age and thickness, as well as to snow depth: older ice had thinner snow cover and contained higher algal biomass while new ice in the polynya had lower biomass. Older pack ice was dominated by diatoms (particularly Fragilariopsis cylindrus) and had vertical distributions of Chl a, POC, and TPN that were related to salinity, with higher biomass at the ice-water interface. Fluorescence-based measurements of photosynthetic competence (Fv/Fm) were higher at ice-water interfaces, and photosynthesis-irradiance characteristics measured for bottom ice algae were comparable to those measured in pack ice communities of other regions. Nutrient concentrations in extracted sea ice brines showed depletion of silicate and nitrate, depletion or regeneration of phosphate and nitrite, and production of ammonium when normalized to seawater salinity; however, concentrations of dissolved inorganic nitrogen, phosphorous, and silica were typically above levels likely to limit algal growth. In areas where pack ice and snow cover were thickest, light levels could be limiting to algal photosynthesis. Enrichment of delta(13) C-POC in the sea ice was correlated with the accumulation of POC, suggesting that carbon sources for photosynthesis might shift in response to decreasing CO2 supply. Comparisons between new ice and underlying waters showed similar algal species dominance (Phaeocystis antarctica) implying incorporation of phytoplankton, with substantially higher POC and TPN concentrations in the ice.</t>
  </si>
  <si>
    <t>Stanford Univ, Dept Geophys, Stanford, CA 94305 USA; San Francisco State Univ, Romberg Tiburon Ctr, Tiburon, CA USA; Colgate Univ, Dept Geol, Hamilton, NY 13346 USA; Univ Wisconsin, Dept Biol &amp; Microbiol, Oshkosh, WI 54901 USA</t>
  </si>
  <si>
    <t>Stanford University; California State University System; San Francisco State University; Colgate University; University of Wisconsin System</t>
  </si>
  <si>
    <t>Stanford Univ, Dept Geophys, Mitchell Bldg,Room 355, Stanford, CA 94305 USA.</t>
  </si>
  <si>
    <t>arrigo@pangea.stanford.edu</t>
  </si>
  <si>
    <t>Arrigo, Kevin/0000-0002-7364-876X; Dunbar, Robert/0000-0002-9728-5609; Leventer, Amy/0000-0001-9401-0987</t>
  </si>
  <si>
    <t>OCT 10</t>
  </si>
  <si>
    <t>10.1029/2001JC001138</t>
  </si>
  <si>
    <t>732FQ</t>
  </si>
  <si>
    <t>WOS:000185930500001</t>
  </si>
  <si>
    <t>Li, XW; Wunsch, C</t>
  </si>
  <si>
    <t>Constraining the North Atlantic circulation between 4.5°S and 39.5°N with transient tracer observations -: art. no. 3318</t>
  </si>
  <si>
    <t>transient tracer; state estimation; adjoint model</t>
  </si>
  <si>
    <t>FRESH-WATER TRANSPORTS; ANTARCTIC BOTTOM WATER; CHLOROFLUOROCARBON OBSERVATIONS; OCEAN; MODEL; TRITIUM; AGE; RATES; HEAT; SEA</t>
  </si>
  <si>
    <t>A 1degrees horizontal resolution North Atlantic general circulation model (GCM) in the latitude band 4.5degreesS to 39.5degreesN is compared to, and then combined with, chlorofluorocarbon and tritium transient tracer data. The method of Lagrange multipliers (adjoint) is used. Tracer distribution within the model ocean interior is primarily sensitive to the flux through the open northern boundary. This flux is determined by the estimation method and is found to deviate from the initial estimate significantly for all tracers. An attempt to carry the model domain to 78.5degreesN showed the GCM inadequacy, believed to be primarily a problem of spatial resolution, to compute the convective injection of tracer into the deep ocean. Any such errors persist throughout the tracer integration and corrupt all further tracer concentrations. In general, and consistent with earlier much simpler computations, uncertainties in surface and northern boundary conditions dominate the computed tracer concentrations. The final results here are improved estimates of the three-dimensional time histories of the tritium and CFCs and their boundary conditions over the model domain, with very little information available to constrain the GCM itself in the latitude band.</t>
  </si>
  <si>
    <t>MIT, MIT WHOI Joint Program Phys Oceang, Cambridge, MA 02139 USA; MIT, Dept Earth Atmospher &amp; Planetary Sci, Cambridge, MA 02139 USA</t>
  </si>
  <si>
    <t>Massachusetts Institute of Technology (MIT); Massachusetts Institute of Technology (MIT)</t>
  </si>
  <si>
    <t>Woods Hole Oceanog Inst, Dept Appl Ocean Phys &amp; Engn, Woods Hole, MA 02543 USA.</t>
  </si>
  <si>
    <t>xli@whoi.edu</t>
  </si>
  <si>
    <t>10.1029/2002JC001765</t>
  </si>
  <si>
    <t>WOS:000185930500003</t>
  </si>
  <si>
    <t>Maurice, SDR; Wiens, DA; Shore, PJ; Vera, E; Dorman, LM</t>
  </si>
  <si>
    <t>Seismicity and tectonics of the South Shetland Islands and Bransfield Strait from a regional broadband seismograph deployment</t>
  </si>
  <si>
    <t>Bransfield Strait; South Shetland Islands; Antarctic Peninsula; seismicity; subduction; back arc rifting</t>
  </si>
  <si>
    <t>ANTARCTIC PENINSULA; WEST ANTARCTICA; SUBDUCTION ZONES; BASIN VOLCANISM; SCOTIA SEA; PLATE; EVOLUTION; CONSTRAINTS; MAGMATISM; LOCATION</t>
  </si>
  <si>
    <t>[1] We investigate the tectonics of the South Shetland Trench and Bransfield Strait by performing a detailed study of local seismicity. During 1997 - 1999 we deployed seven land seismometers and 14 ocean bottom seismometers in the South Shetland Island region. The data we obtained indicate a high level of local seismicity (m(b) 2 - 5), and we accurately located similar to 150 earthquakes. Many of the earthquakes occur at locations and depths indicative of ongoing subduction in the South Shetland trench. A focal mechanism for the largest event in the forearc indicates shallow angle thrusting. The maximum depth of seismicity is similar to 65 km, but the majority of the events are shallower than 30 km. These seismic results are consistent with recent magnetic, GPS, and multichannel seismic reflection data that suggest continued subduction at a very slow rate. The South Shetland trench thus represents an extreme end-member of hot subduction resulting from slow convergence of young lithosphere, and the absence of intermediate depth earthquakes is consistent with thermal assimilation of the slab at shallow depths. We have located many earthquakes associated with volcanism and rifting in Bransfield Strait. A swarm of events near a submarine volcano suggests current magmatic activity. A normal faulting focal mechanism in the northeastern part of the strait gives evidence of extension. Earthquakes associated with rifting in the northeastern portion of the strait are clustered along well-established rifts, but the seismicity is much more diffuse to the southwest. This observation is consistent with other evidence that extension has propagated from northeast to southwest.</t>
  </si>
  <si>
    <t>Washington Univ, Dept Earth &amp; Planetary Sci, St Louis, MO 63130 USA; Univ Chile, Dept Geofis, Santiago 2777, Chile; Univ Calif San Diego, Scripps Inst Oceanog, La Jolla, CA 92093 USA</t>
  </si>
  <si>
    <t>Washington University (WUSTL); Universidad de Chile; University of California System; University of California San Diego; Scripps Institution of Oceanography</t>
  </si>
  <si>
    <t>Maurice, SDR (corresponding author), ExxonMobil Upstream Res Co, 3319 Mercer St, Houston, TX 77027 USA.</t>
  </si>
  <si>
    <t>stacey.d.maurice@exxonmobil.com; ldorman@ucsd.edu</t>
  </si>
  <si>
    <t>Vera, Emilio/I-6309-2016; Wiens, Douglas/J-9259-2016</t>
  </si>
  <si>
    <t>Vera, Emilio/0000-0003-1088-0470; Wiens, Douglas/0000-0002-5169-4386</t>
  </si>
  <si>
    <t>OCT 9</t>
  </si>
  <si>
    <t>10.1029/2003JB002416</t>
  </si>
  <si>
    <t>732FU</t>
  </si>
  <si>
    <t>WOS:000185930800007</t>
  </si>
  <si>
    <t>Gemmell, NJ</t>
  </si>
  <si>
    <t>Kin selection may influence fostering behaviour in Antarctic fur seals (Arctocephalus gazella)</t>
  </si>
  <si>
    <t>pinniped; microsatellites; kin selection; reproductive strategies; fostering; maternal investment</t>
  </si>
  <si>
    <t>HAWAIIAN MONK SEALS; HALICHOERUS-GRYPUS; VOCAL RECOGNITION; GREY SEALS; MICROSATELLITE MARKERS; ENERGY-EXPENDITURE; GENETIC-MARKERS; PHOCA-VITULINA; ELEPHANT SEALS; HARBOR SEAL</t>
  </si>
  <si>
    <t>Fostering confers obvious advantages to the offspring but is seemingly costly to the caregiver. Such behaviour is particularly paradoxical in seals where the energetic investment in milk is very high and has led to the suggestion that this behaviour may have evolved through either kin selection or reciprocity. We used a combination of genetic and behavioural data to investigate whether kin selection plays a role in the fostering behaviour observed in a well-studied population of Antarctic fur seals (Arctocephalus gazella) from Bird Island, South Georgia. Genotypic data from eight highly polymorphic microsatellite markers were used to estimate relatedness among mother-pup pairs, foster mother-pup pairs and the total population. Mean relatedness was found to be significantly higher for foster mother-pup pairs than that observed for the total population, suggesting that kin selection could have a role in the maintenance of fostering behaviour in this species.</t>
  </si>
  <si>
    <t>Univ Canterbury, Dept Zool, Christchurch 1, New Zealand</t>
  </si>
  <si>
    <t>Gemmell, NJ (corresponding author), Univ Canterbury, Dept Zool, Private Bag 4800, Christchurch 1, New Zealand.</t>
  </si>
  <si>
    <t>neil.gemmell@canterbury.ac.nz</t>
  </si>
  <si>
    <t>Gemmell, Neil/C-6774-2009</t>
  </si>
  <si>
    <t>Gemmell, Neil/0000-0003-0671-3637</t>
  </si>
  <si>
    <t>OCT 7</t>
  </si>
  <si>
    <t>10.1098/rspb.2003.2467</t>
  </si>
  <si>
    <t>728WP</t>
  </si>
  <si>
    <t>WOS:000185739600007</t>
  </si>
  <si>
    <t>Jarvis, MJ; Hibbins, RE; Taylor, MJ; Rosenberg, TJ</t>
  </si>
  <si>
    <t>Utilizing riometry to observe gravity waves in the sunlit mesosphere</t>
  </si>
  <si>
    <t>INCOHERENT-SCATTER RADAR; ABSORPTION; DENSITIES; EVENTS; MODEL; OH</t>
  </si>
  <si>
    <t>[1] The novel use of imaging riometers to observe mesospheric gravity waves is described. Imaging riometers respond to changes in the absorption of cosmic radio noise in the ionospheric D-region which enables them to detect the compression and rarefaction of the atmosphere at similar to90 km altitude generated by the passage of gravity waves. A considerable advantage of this method is that, unlike conventional techniques which rely on imaging faint optical emissions from the airglow layer at similar to87 km altitude, riometers remain operative under daylit, moonlit or cloudy conditions. This is particularly important for research into gravity wave forcing of mesospheric temperature at polar latitudes in summer when continuous 24-hour daylight prevails. An example in which the same wave event is characterized in colocated airglow imager and imaging riometer shows good agreement between the two instruments.</t>
  </si>
  <si>
    <t>British Antarctic Survey, Cambridge CB3 0ET, England; Utah State Univ, Ctr Atmospher &amp; Space Sci, Logan, UT 84322 USA; Univ Maryland, Inst Phys Sci &amp; Technol, College Pk, MD 20742 USA</t>
  </si>
  <si>
    <t>UK Research &amp; Innovation (UKRI); Natural Environment Research Council (NERC); NERC British Antarctic Survey; Utah System of Higher Education; Utah State University; University System of Maryland; University of Maryland College Park</t>
  </si>
  <si>
    <t>Jarvis, MJ (corresponding author), British Antarctic Survey, Madingley Rd, Cambridge CB3 0ET, England.</t>
  </si>
  <si>
    <t>Hibbins, Robert/0000-0002-6867-2255</t>
  </si>
  <si>
    <t>OCT 4</t>
  </si>
  <si>
    <t>10.1029/2003GL017885</t>
  </si>
  <si>
    <t>731MG</t>
  </si>
  <si>
    <t>WOS:000185888700002</t>
  </si>
  <si>
    <t>Baardsnes, J; Kuiper, MJ; Davies, PL</t>
  </si>
  <si>
    <t>Antifreeze protein dimer - When two ice-binding faces are better than one</t>
  </si>
  <si>
    <t>JOURNAL OF BIOLOGICAL CHEMISTRY</t>
  </si>
  <si>
    <t>III ANTIFREEZE; THERMAL HYSTERESIS; GROWTH-INHIBITION; STRUCTURAL BASIS; SURFACE; FISHES; IDENTIFICATION; MECHANISMS; ADSORPTION; RESIDUES</t>
  </si>
  <si>
    <t>A naturally occurring tandem duplication of the 7-kDa type III antifreeze protein from Antarctic eel pout (Lycodichthys dearborni) is twice as active as the monomer in depressing the freezing point of a solution. We have investigated the basis for this enhanced activity by producing recombinant analogues of the linked dimer that assess the effects of protein size and the number and area of the ice-binding site(s). The recombinant dimer connected by a peptide linker had twice the activity of the monomer. When one of the two ice-binding sites was inactivated by site-directed mutagenesis, the linked dimer was only 1.2 times more effective than the monomer. When the two monomers were linked through a C-terminal disulfide bond in such a way that their two ice-binding sites were opposite each other and unable to engage the same ice surface simultaneously, the dimer was again only 1.2 times as active as the monomer. We conclude from these analyses that the enhanced activity of the dimer stems from the two ice-binding sites being able to engage to ice at the same time, effectively doubling the area of the ice-binding site.</t>
  </si>
  <si>
    <t>Queens Univ, Dept Biochem, Kingston, ON K7L 3N6, Canada</t>
  </si>
  <si>
    <t>Davies, PL (corresponding author), Queens Univ, Dept Biochem, Kingston, ON K7L 3N6, Canada.</t>
  </si>
  <si>
    <t>AMER SOC BIOCHEMISTRY MOLECULAR BIOLOGY INC</t>
  </si>
  <si>
    <t>9650 ROCKVILLE PIKE, BETHESDA, MD 20814-3996 USA</t>
  </si>
  <si>
    <t>0021-9258</t>
  </si>
  <si>
    <t>J BIOL CHEM</t>
  </si>
  <si>
    <t>J. Biol. Chem.</t>
  </si>
  <si>
    <t>OCT 3</t>
  </si>
  <si>
    <t>10.1074/jbc.M306776200</t>
  </si>
  <si>
    <t>726AM</t>
  </si>
  <si>
    <t>WOS:000185575100104</t>
  </si>
  <si>
    <t>D'Amico, S; Gerday, C; Feller, G</t>
  </si>
  <si>
    <t>Temperature adaptation of proteins:: Engineering mesophilic-like activity and stability in a cold-adapted α-amylase</t>
  </si>
  <si>
    <t>JOURNAL OF MOLECULAR BIOLOGY</t>
  </si>
  <si>
    <t>psychrophile; cold adaptation; alpha-amylase; thermal stability; microcalorimetry</t>
  </si>
  <si>
    <t>ALTEROMONAS-HALOPLANCTIS; CRYSTAL-STRUCTURE; THERMODYNAMIC STABILITY; STRUCTURAL ADAPTATIONS; PSYCHROPHILIC ENZYMES; ANTARCTIC BACTERIUM; FLEXIBILITY; ACTIVATION; PARAMETERS; RESOLUTION</t>
  </si>
  <si>
    <t>Two multiple mutants of a psychrophilic alpha-amylase were produced, bearing five mutations (each introducing additional weak interactions found in pig pancreatic (alpha-amylase) with or without an extra disulfide bond specific to warm-blooded animals. Both multiple mutants display large modifications of stability and activity arising from synergic effects in comparison with single mutations. Newly introduced weak interactions and the disulfide bond confer mesophilic-like stability parameters, as shown by increases in the melting point t(m), in the calorimetric enthalpy DeltaH(cal) and in protection against heat inactivation, as well as by decreases in cooperativity and reversibility of unfolding. In addition, both kinetic and thermodynamic activation parameters of the catalyzed reaction are shifted close to the values of the porcine enzyme. This study confirms the central role of weak interactions in regulating the balance between stability and activity of an enzyme in order to adapt to the environmental temperature. (C) 2003 Elsevier Ltd. All rights reserved.</t>
  </si>
  <si>
    <t>Univ Liege, Inst Chem B6, Biochem Lab, B-4000 Liege, Belgium</t>
  </si>
  <si>
    <t>Univ Liege, Inst Chem B6, Biochem Lab, B-4000 Liege, Belgium.</t>
  </si>
  <si>
    <t>gfeller@ulg.ac.be</t>
  </si>
  <si>
    <t>0022-2836</t>
  </si>
  <si>
    <t>1089-8638</t>
  </si>
  <si>
    <t>J MOL BIOL</t>
  </si>
  <si>
    <t>J. Mol. Biol.</t>
  </si>
  <si>
    <t>10.1016/j.jmb.2003.07.014</t>
  </si>
  <si>
    <t>726AP</t>
  </si>
  <si>
    <t>WOS:000185575300001</t>
  </si>
  <si>
    <t>Almog, O; González, A; Klein, D; Greenblatt, HM; Braun, S; Shoham, G</t>
  </si>
  <si>
    <t>The 0.93 Å crystal structure of sphericase:: A calcium-loaded serine protease from Bacillus sphaericus</t>
  </si>
  <si>
    <t>sphericase; serine protease; subtilisin; cold adaptation; mesophilic</t>
  </si>
  <si>
    <t>COLD ADAPTATION; ALPHA-AMYLASE; MACROMOLECULAR STRUCTURES; BINDING-SITES; SUBTILISIN; PROTEINS; SEQUENCE; REFINEMENT; ENZYMES; RESOLUTION</t>
  </si>
  <si>
    <t>We have previously isolated sphericase (Sph), an extracellular mesophilic serine protease produced by Bacillus sphaericus. The Sph amino acid sequence is highly homologous to two cold-adapted subtilisins from Antarctic bacilli S39 and S41 (76% and 74% identity, respectively). Sph is calcium-dependent, 310 amino acid residues long and has optimal activity at pH 10.0. S41 and S39 have not as yet been structurally analysed. In the present work, we determined the crystal structure of Sph by the Eu/multiwavelength anomalous diffraction method. The structure was extended to 0.93 Angstrom resolution and refined to a crystallographic R-factor of 9.7%. The final model included all 310 amino acid residues, one disulfide bond, 679 water molecules and five calcium ions. Although Sph is a mesophilic subtilisin, its amino acid sequence is similar to that of the psychrophilic subtilisins, which suggests that the crystal structure of these subtilisins is very similar. The presence of five calcium ions bound to a subtilisin molecule, as found here for Sph, has not been reported for the subtilisin superfamily. None of these calcium-binding sites correlates with the well-known high-affinity calcium-binding site (site I or site A), and only one site has been described previously. This calcium-binding pattern suggests that a reduction in the flexibility of the surface loops of Sph by calcium binding may be responsible for its adaptation to mesophilic organisms. (C) 2003 Elsevier Ltd. All rights reserved.</t>
  </si>
  <si>
    <t>Ben Gurion Univ Negev, Fac Hlth Sci, Dept Clin Biochem, IL-84105 Beer Sheva, Israel; EMBL, Hamburg Outstn, D-22603 Hamburg, Germany; Hebrew Univ Jerusalem, Dept Biol Chem, IL-91904 Jerusalem, Israel; Hebrew Univ Jerusalem, Inst Life Sci, IL-91904 Jerusalem, Israel; Hebrew Univ Jerusalem, Dept Inorgan Chem, IL-91904 Jerusalem, Israel; Stanford Synchrotron Radiat Lab, Menlo Pk, CA 94025 USA</t>
  </si>
  <si>
    <t>Ben Gurion University; European Molecular Biology Laboratory (EMBL); Hebrew University of Jerusalem; Hebrew University of Jerusalem; Hebrew University of Jerusalem; Stanford University; United States Department of Energy (DOE); SLAC National Accelerator Laboratory</t>
  </si>
  <si>
    <t>Ben Gurion Univ Negev, Fac Hlth Sci, Dept Clin Biochem, IL-84105 Beer Sheva, Israel.</t>
  </si>
  <si>
    <t>almogo@bgumail.bgu.ac.il</t>
  </si>
  <si>
    <t>10.1016/j.jmb.2003.07.011</t>
  </si>
  <si>
    <t>WOS:000185575300009</t>
  </si>
  <si>
    <t>Kirkman, SP; Bester, MN; Makhado, AB; Pistorius, PA</t>
  </si>
  <si>
    <t>Female attendance patterns of Antarctic fur seals at Marion Island</t>
  </si>
  <si>
    <t>AFRICAN ZOOLOGY</t>
  </si>
  <si>
    <t>Arctocephalus gazella; foraging; pup growth</t>
  </si>
  <si>
    <t>ARCTOCEPHALUS-GAZELLA; TIME BUDGETS; PUP GROWTH; FISH PREY; BEHAVIOR; TROPICALIS; SPP.</t>
  </si>
  <si>
    <t>Attendance patterns of female Antarctic fur seals (Arctocephalus gazella) at Marion Island were studied during the 1998 to 2000 lactation periods, and compared with those recorded in 1987. Over the same period, body mass of pups close to the age of weaning was estimated to obtain an index of pup growth. Foraging trips were longest and pup growth was poorest in 1999, a year with unusually high sea-surface temperatures around Marion Island. Pup growth was greatest during the year with the shortest foraging trips. Foraging trip durations were longer than in 1987, but more years of study are required to investigate the relationship of attendance patterns and pup growth with changing population size and oceanographic conditions.</t>
  </si>
  <si>
    <t>Univ Pretoria, Mammal Res Inst, Dept Zool &amp; Entomol, ZA-0002 Pretoria, South Africa</t>
  </si>
  <si>
    <t>Bester, MN (corresponding author), Univ Pretoria, Mammal Res Inst, Dept Zool &amp; Entomol, ZA-0002 Pretoria, South Africa.</t>
  </si>
  <si>
    <t>Kirkman, Stephen/AAA-9139-2021; Bester, Marthán N/E-5387-2010</t>
  </si>
  <si>
    <t>Kirkman, Stephen/0000-0001-5428-7375; Pistorius, Pierre/0000-0001-6561-7069</t>
  </si>
  <si>
    <t>ZOOLOGICAL SOC SOUTHERN AFRICA</t>
  </si>
  <si>
    <t>PRETORIA</t>
  </si>
  <si>
    <t>AFRICAN ZOOLOGY CIRCULATION OFFICE, PO BOX 11663,, PRETORIA 0028, SOUTH AFRICA</t>
  </si>
  <si>
    <t>1562-7020</t>
  </si>
  <si>
    <t>AFR ZOOL</t>
  </si>
  <si>
    <t>Afr. Zool.</t>
  </si>
  <si>
    <t>OCT</t>
  </si>
  <si>
    <t>762UM</t>
  </si>
  <si>
    <t>WOS:000188000600024</t>
  </si>
  <si>
    <t>Clilverd, MA; Clarke, E; Rishbeth, H; Clark, TDG; Ulich, T</t>
  </si>
  <si>
    <t>Solar activity levels in 2100</t>
  </si>
  <si>
    <t>ASTRONOMY &amp; GEOPHYSICS</t>
  </si>
  <si>
    <t>RADIOCARBON AGE CALIBRATION; MAGNETIC-FIELD; VARIABILITY; CLIMATE; INDEXES</t>
  </si>
  <si>
    <t>We consider the likely levels of solar activity in 2100 by analysing the previous history of long-term solar and geomagnetic activity indices. We make use of superposed periods of similar variations in atmospheric cosmogenic radiocarbon that have occurred during the last 11000 years, as derived from various proxies such as tree rings. This leads us to conclude that solar activity is peaking at about the present epoch, and we expect solar activity in 2100 to resemble that in 1900 when a small minimum in solar activity took place, rather than increasing as has occurred in the last 100 years. The occurrence of major geomagnetic storms will decline to about one-third of the present level.</t>
  </si>
  <si>
    <t>British Antarctic Survey, Cambridge CB3 0ET, England; British Geol Survey, NERC, Edinburgh, Midlothian, Scotland; Univ Southampton, Southampton, Hants, England; Univ Oulu, Sodankyla Geophys Observ, Oulu, Finland</t>
  </si>
  <si>
    <t>UK Research &amp; Innovation (UKRI); Natural Environment Research Council (NERC); NERC British Antarctic Survey; UK Research &amp; Innovation (UKRI); Natural Environment Research Council (NERC); NERC British Geological Survey; University of Southampton; University of Oulu</t>
  </si>
  <si>
    <t>Clilverd, MA (corresponding author), British Antarctic Survey, Cambridge CB3 0ET, England.</t>
  </si>
  <si>
    <t>1366-8781</t>
  </si>
  <si>
    <t>ASTRON GEOPHYS</t>
  </si>
  <si>
    <t>Astron. Geophys.</t>
  </si>
  <si>
    <t>10.1046/j.1468-4004.2003.44520.x</t>
  </si>
  <si>
    <t>Astronomy &amp; Astrophysics; Geochemistry &amp; Geophysics</t>
  </si>
  <si>
    <t>723RN</t>
  </si>
  <si>
    <t>WOS:000185445500016</t>
  </si>
  <si>
    <t>Phillips, RA; Xavier, JC; Croxall, JP</t>
  </si>
  <si>
    <t>Effects of satellite transmitters on albatrosses and petrels</t>
  </si>
  <si>
    <t>AUK</t>
  </si>
  <si>
    <t>BLACK-BROWED ALBATROSSES; FORAGING STRATEGIES; RADIO TRANSMITTERS; NATURAL VARIATION; ANTARCTIC WATERS; NORTHERN FULMARS; REARING CHICKS; GIANT PETRELS; NEW-ZEALAND; ISLAND</t>
  </si>
  <si>
    <t>Effects of deployment of miniaturized transmitters and loggers have been well studied in penguins, but much less so in flying seabirds. We examined the effects of satellite tag (platform terminal transmitter, PTT) deployment in Black-browed (Thalassarche melanophris) and Gray-headed (T. chrysostoma) albatrosses at South Georgia and reviewed the recent literature for other albatrosses and petrels. In our study, although a few individuals may have slightly extended their foraging trips, overall there was no significant difference in trip duration, meal mass, breeding success, or rate of return in the next season between birds with PTTs and controls. By comparison, most other studies of albatrosses and petrels recorded extended trip durations and, in some cases, high rates of nest desertion following PTT attachment. That occurred particularly where transmitter loads exceeded 3% of adult mass. Extended trip durations may result from reduced flight efficiency, as well as the effect of capture and temporary restraint, but affected birds seem nonetheless to commute to representative foraging areas. To minimize device effects, we suggest that transmitter loads be reduced to a minimum, use of harnesses be avoided (particularly for breeding season deployments when tape attachment to feathers is an effective alternative), and careful attention be given to limiting handling times during incubation when some species are particularly sensitive to disturbance. Received 17 October 2002, accepted 14 June 2003.</t>
  </si>
  <si>
    <t>Xavier, José/KFB-6739-2024</t>
  </si>
  <si>
    <t>/0000-0002-9621-6660</t>
  </si>
  <si>
    <t>OXFORD UNIV PRESS INC</t>
  </si>
  <si>
    <t>CARY</t>
  </si>
  <si>
    <t>JOURNALS DEPT, 2001 EVANS RD, CARY, NC 27513 USA</t>
  </si>
  <si>
    <t>0004-8038</t>
  </si>
  <si>
    <t>1938-4254</t>
  </si>
  <si>
    <t>10.1642/0004-8038(2003)120[1082:EOSTOA]2.0.CO;2</t>
  </si>
  <si>
    <t>739HE</t>
  </si>
  <si>
    <t>WOS:000186338400015</t>
  </si>
  <si>
    <t>Jones, AG; Chown, SL; Gaston, KJ</t>
  </si>
  <si>
    <t>Introduced house mice as a conservation concern on Gough Island</t>
  </si>
  <si>
    <t>BIODIVERSITY AND CONSERVATION</t>
  </si>
  <si>
    <t>diet; insects; Mus musculus; seabirds; seasonality</t>
  </si>
  <si>
    <t>MOUSE MUS-MUSCULUS; SUB-ANTARCTIC MARION; POPULATION BIOLOGY; SMALL MAMMALS; DIET; IMPACT; REPRODUCTION; OVULATION; SIZE; FOOD</t>
  </si>
  <si>
    <t>House mice have previously been identified as a significant threat to both species and ecosystems on Southern Ocean islands. To date, these impacts have been quantified on several sub-Antarctic islands, but the role of house mice on more temperate islands is poorly known. On South Atlantic Gough Island, non-commensal house mice (Mus musculus L.) were probably introduced in the early 19th century and are now extremely abundant. To assess the likely impacts of mice on the fauna and flora at Gough Island we examined the diet of this population from September 1999 to July 2000 using conventional snap trapping techniques. The population has a single breeding season from September to March and mean body mass is notable in being amongst the largest reported for non-laboratory M. musculus. At low elevations (, 250 m above sea level [a.s.l.]), avian carrion was the most prevalent dietary item during September and October. From November to February, plant material constituted the bulk of stomach contents and from March to July lumbricid worms were the most common food item. Indigenous invertebrate matter contributed little to mouse diet, independent of season. At altitudes greater than 500 m a.s.l., larvae of endemic brachypterous moths made up a significant proportion of stomach contents. In light of studies elsewhere, these data suggest that mouse predation may pose a significant threat to these species. However, it is not clear whether conservation action, such as an eradication attempt, is warranted. Further assessments of the impacts of mice are required, and in the interim every effort should be made to prevent introductions of other potentially harmful invasive species.</t>
  </si>
  <si>
    <t>Univ Stellenbosch, Dept Zool, ZA-7602 Matieland, South Africa; Univ Sheffield, Dept Anim &amp; Plant Sci, Biodivers &amp; Macroecol Grp, Sheffield S10 2TN, S Yorkshire, England</t>
  </si>
  <si>
    <t>Stellenbosch University; University of Sheffield</t>
  </si>
  <si>
    <t>Univ Stellenbosch, Dept Zool, Private Bag X1, ZA-7602 Matieland, South Africa.</t>
  </si>
  <si>
    <t>Chown, Steven/ABD-7646-2021; Chown, Steven L/H-3347-2011</t>
  </si>
  <si>
    <t>0960-3115</t>
  </si>
  <si>
    <t>1572-9710</t>
  </si>
  <si>
    <t>BIODIVERS CONSERV</t>
  </si>
  <si>
    <t>Biodivers. Conserv.</t>
  </si>
  <si>
    <t>10.1023/A:1024190331384</t>
  </si>
  <si>
    <t>688PL</t>
  </si>
  <si>
    <t>WOS:000183444400008</t>
  </si>
  <si>
    <t>Bell, JJ; Barnes, DKA</t>
  </si>
  <si>
    <t>Effect of disturbance on assemblages: an example using Porifera</t>
  </si>
  <si>
    <t>BIOLOGICAL BULLETIN</t>
  </si>
  <si>
    <t>GREAT-BARRIER-REEF; COMPETITIVE NETWORKS; INTERTIDAL COMMUNITY; SPONGE; PATTERNS; GROWTH; SPACE; REPRODUCTION; ENVIRONMENT; AFFINITIES</t>
  </si>
  <si>
    <t>Extensive sponge assemblages are found in a number of habitats at Lough Hyne Marine Nature Reserve. These habitats are unusual in experiencing a range of environmental conditions, even though they are only separated by small geographic distances (1-500 m), reducing the possibility of confounding effects between study sites (e.g., silica concentrations and temperature). Sponge assemblages were examined on ephemeral (rocks), stable (cliffs), and artificial (slate panels) hard substrata from high- and low-energy environments that were used to represent two measures of disturbance (flow rate and habitat stability). Sponge assemblages varied considerably between habitat types such that only 26% (25 species) of species reported were common to both rock and cliff habitats. Seven species (of a total of 96 species) were found in the least-developed assemblages (slate panels) and were common to all habitats. Sponge assemblages on rocks and panels varied little between high- and low-energy environments, whereas assemblages inhabiting cliffs varied considerably. Assemblage composition was visualized using Bray-Curtis similarity analysis and Multi-Dimensional Scaling, which enabled differences and similarities between sponge assemblages to be visualized. Cliffs from high- and low-energy sites had different assemblage compositions compared to large rocks, small rocks, and panels, all of which had similar assemblages irrespective of environmental conditions. Differences in assemblages were partially attributed to sponge morphology (shape), as certain morphologies (e.g., arborescent species) were excluded from 2-D rock habitats. Other mechanisms were also considered responsible for the sponge assemblages associated with different habitats.</t>
  </si>
  <si>
    <t>Univ Coll Cork, Dept Zool &amp; Anim Ecol, Cork, Ireland; British Antarctic Survey, NERC, Cambridge CB3 0ET, England</t>
  </si>
  <si>
    <t>Bell, JJ (corresponding author), Univ Wales, Inst Biol Sci, Edward Llwyd Bldg, Aberystwyth SY23 3DA, Ceredigion, Wales.</t>
  </si>
  <si>
    <t>MARINE BIOLOGICAL LABORATORY</t>
  </si>
  <si>
    <t>WOODS HOLE</t>
  </si>
  <si>
    <t>7 MBL ST, WOODS HOLE, MA 02543 USA</t>
  </si>
  <si>
    <t>0006-3185</t>
  </si>
  <si>
    <t>BIOL BULL-US</t>
  </si>
  <si>
    <t>Biol. Bull.</t>
  </si>
  <si>
    <t>10.2307/1543235</t>
  </si>
  <si>
    <t>Biology; Marine &amp; Freshwater Biology</t>
  </si>
  <si>
    <t>Life Sciences &amp; Biomedicine - Other Topics; Marine &amp; Freshwater Biology</t>
  </si>
  <si>
    <t>739HJ</t>
  </si>
  <si>
    <t>WOS:000186338800007</t>
  </si>
  <si>
    <t>Weber, JM; Brichon, G; Zwingelstein, G</t>
  </si>
  <si>
    <t>Fatty acid metabolism in rainbow trout (Oncorhynchus mykiss) tissues:: differential incorporation of palmitate and oleate</t>
  </si>
  <si>
    <t>CONTINUOUS TRACER INFUSION; ANTARCTIC FISH-TISSUES; BINDING-PROTEINS; SALMO-GAIRDNERI; LOW-TEMPERATURE; CHAIN-LENGTH; IN-VIVO; MOBILIZATION; OXIDATION; CHROMATOGRAPHY</t>
  </si>
  <si>
    <t>Total fatty acid (FA) fluxes of teleost have been well characterized, but the tissues incorporating FA from the circulation and the metabolic fate of these FA remain unclear. Our goals were to determine (i) the relative roles of different tissues in incorporating FA, (ii) the lipid pools that include FA (phospholipids (PL) or neutral lipids (NL)), and (iii) whether saturated and monounsaturated FA behave differently. Fatty acid incorporation was measured after administration of 1-C-14-palmitate and 9,10-H-3-oleate in rainbow trout (Oncorhynchus mykiss). Results show that FA incorporation varies tremendously among tissues and that the dominant physiological roles of palmitate and oleate are different. For all tissues, oleate is incorporated more rapidly than palmitate into NL (ratio oleate-palmitate 2.8 +/- 0.3), showing that oleate plays a prominent role in energy metabolism. However, the two FA enter tissue PL to the same extent (incorporation ratio 1.0 +/- 0.2), suggesting equal contributions to membrane turnover. This study reveals a novel aspect of the dominant role played by monounsaturates in energy metabolism: their preferential incorporation in triacylglycerol reserves.</t>
  </si>
  <si>
    <t>Univ Ottawa, Dept Biol, Ottawa, ON K1N 6N5, Canada; Univ Lyon 1, Inst Michel Pacha, F-83500 La Seyne Sur Mer, France</t>
  </si>
  <si>
    <t>University of Ottawa; Universite Claude Bernard Lyon 1</t>
  </si>
  <si>
    <t>Univ Ottawa, Dept Biol, 30 Marie Curie, Ottawa, ON K1N 6N5, Canada.</t>
  </si>
  <si>
    <t>jmweber@science.uottawa.ca</t>
  </si>
  <si>
    <t>Weber, Jean-Michel/0000-0003-2218-2952</t>
  </si>
  <si>
    <t>10.1139/F03-110</t>
  </si>
  <si>
    <t>743LN</t>
  </si>
  <si>
    <t>WOS:000186573400009</t>
  </si>
  <si>
    <t>Vaughan, DG; Marshall, GJ; Connolley, WM; Parkinson, C; Mulvaney, R; Hodgson, DA; King, JC; Pudsey, CJ; Turner, J</t>
  </si>
  <si>
    <t>Recent rapid regional climate warming on the Antarctic Peninsula</t>
  </si>
  <si>
    <t>LARSEN ICE SHELF; NCEP-NCAR REANALYSIS; SEA-ICE; SOUTHERN-OCEAN; SURFACE TEMPERATURES; AIR-TEMPERATURE; SEMIANNUAL OSCILLATION; VASCULAR PLANTS; TRENDS; VARIABILITY</t>
  </si>
  <si>
    <t>The Intergovernmental Panel on Climate Change (IPCC) confirmed that mean global warming was 0.6 +/- 0.2degreesC during the 20th century and cited anthropogenic increases in greenhouse gases as the likely cause of temperature rise in the last 50 years. But this mean value conceals the substantial complexity of observed climate change, which is seasonally- and diurnally-biased, decadally-variable and geographically patchy. In particular, over the last 50 years three high-latitude areas have undergone recent rapid regional (RRR) warming, which was substantially more rapid than the global mean. However, each RRR warming occupies a different climatic regime and may have an entirely different underlying cause. We discuss the significance of RRR warming in one area, the Antarctic Peninsula. Here warming was much more rapid than in the rest of Antarctica where it was not significantly different to the global mean. We highlight climate proxies that appear to show that RRR warming on the Antarctic Peninsula is unprecedented over the last two millennia, and so unlikely to be a natural mode of variability. So while the station records do not indicate a ubiquitous polar amplification of global warming, the RRR warming on the Antarctic Peninsula might be a regional amplification of such warming. This, however, remains unproven since we cannot yet be sure what mechanism leads to such an amplification. We discuss several possible candidate mechanisms: changing oceanographic or changing atmospheric circulation, or a regional air-sea-ice feedback amplifying greenhouse warming. We can show that atmospheric warming and reduction in sea-ice duration coincide in a small area on the west of the Antarctic Peninsula, but here we cannot yet distinguish cause and effect. Thus for the present we cannot determine which process is the probable cause of RRR warming on the Antarctic Peninsula and until the mechanism initiating and sustaining the RRR warming is understood, and is convincingly reproduced in climate models, we lack a sound basis for predicting climate change in this region over the coming century.</t>
  </si>
  <si>
    <t>British Antarctic Survey, NERC, Cambridge CB3 0ET, England; NASA, Goddard Space Flight Ctr, Greenbelt, MD 20771 USA</t>
  </si>
  <si>
    <t>UK Research &amp; Innovation (UKRI); Natural Environment Research Council (NERC); NERC British Antarctic Survey; National Aeronautics &amp; Space Administration (NASA); NASA Goddard Space Flight Center</t>
  </si>
  <si>
    <t>Parkinson, Claire/JAC-7676-2023; Vaughan, David/C-8348-2011; Parkinson, Claire L/E-1747-2012; Mulvaney, Robert/K-3929-2012</t>
  </si>
  <si>
    <t>Parkinson, Claire/0000-0001-6730-4197; Parkinson, Claire L/0000-0001-6730-4197; Mulvaney, Robert/0000-0002-5372-8148; Vaughan, David/0000-0002-9065-0570</t>
  </si>
  <si>
    <t>10.1023/A:1026021217991</t>
  </si>
  <si>
    <t>729VW</t>
  </si>
  <si>
    <t>WOS:000185796600002</t>
  </si>
  <si>
    <t>Takaichi, S; Matsui, K; Nakamura, M; Muramatsu, M; Hanada, S</t>
  </si>
  <si>
    <t>Fatty acids of astaxanthin esters in krill determined by mild mass spectrometry</t>
  </si>
  <si>
    <t>astaxanthin; astaxanthin ester; carotenoid ester; Euphausia superba; fatty acid; krill; mass spectrometry</t>
  </si>
  <si>
    <t>ANTARCTIC KRILL; EUPHAUSIA-SUPERBA; CAROTENOID-PIGMENTS</t>
  </si>
  <si>
    <t>Krill is a major source of astaxanthin, which has strong antioxidant activity. Fractions with astaxanthin monoesters and diesters of Antarctic krill Euphausia superba were isolated. Astaxanthin esters were separated by C18-HPLC depending on the number of carbons and double bonds of esterified fatty acid(s). Small amounts of other lipids remained in the samples, but relative molecular masses of carotenoid esters could be measured by field desorption mass spectrometry without fragmentation and interference from contaminant lipids. The fatty acids were determined by calculation of difference between astaxanthin and astaxanthin esters. Only five kinds of fatty acids, dodecarroate, tetradecanoate, hexadecanoate, hexadecenoate and octadecenoate, were detected. Fast atom bombardment mass spectrometry and secondary ion mass spectrometry showed similar spectra. The fatty acid composition in astaxanthin esters was different from those in krill lipids. Therefore, determination of fatty acids in carotenoid esters by a combination of HPLC elution profile and mild mass spectrometry is found to be a useful tool. (C) 2003 Elsevier Inc. All rights reserved.</t>
  </si>
  <si>
    <t>Nippon Med Coll, Biol Lab, Kawasaki, Kanagawa 2110063, Japan; Waseda Univ, Sch Educ, Dept Biol, Tokyo 1698050, Japan; Natl Inst Adv Ind Sci &amp; Technol, Tsukuba, Ibaraki 3058566, Japan</t>
  </si>
  <si>
    <t>Nippon Medical School; Waseda University; National Institute of Advanced Industrial Science &amp; Technology (AIST)</t>
  </si>
  <si>
    <t>Takaichi, S (corresponding author), Nippon Med Coll, Biol Lab, Kosugi Cho, Kawasaki, Kanagawa 2110063, Japan.</t>
  </si>
  <si>
    <t>10.1016/S1096-4959(03)00209-4</t>
  </si>
  <si>
    <t>731HV</t>
  </si>
  <si>
    <t>WOS:000185879000017</t>
  </si>
  <si>
    <t>Casanova, B</t>
  </si>
  <si>
    <t>The order Euphausiacea Dana, 1852</t>
  </si>
  <si>
    <t>CRUSTACEANA</t>
  </si>
  <si>
    <t>MEGANYCTIPHANES-NORVEGICA CRUSTACEA; ANTARCTIC KRILL; SUPERBA DANA; LARVAL DEVELOPMENT; FUNCTIONAL-MORPHOLOGY; DIAGNOSTIC-VALUE; M SARS; DENDROBRANCHIATA DECAPODA; VERTICAL-DISTRIBUTION; LABORATORY CONDITIONS</t>
  </si>
  <si>
    <t>This paper presents the current state of our knowledge on the Euphausiacea, and is to be published eventually in Grasse's Traite de Zoologie. The main characteristics of the order are listed and the external morphology is examined. The axial organization of the cephalothorax has led to an original study of the exoskeleton, the internal invaginations of which are mainly produced by the sternites. The development of the appendages has been followed from the hatching of the nauplius until the adult, as a part of the study on larval development. The anatomy of the various organs is essentially based on studies by authors from the first half of the 20th century. Nevertheless, it has been detailed, in particular for the gut and the genital apparatus, through S.E.M. observations. In the same way, the results of recent physiological studies are mentioned, as goes also for timely taxonomic, ecological, and palaeontological data. The Euphausiacea constitute a quite homogeneous group, and they are restricted to the pelagic realm, which can be deduced from some morphological adaptations, such as the naked filamentous gills or the thin thoracopods. Besides, it should be stressed that, among the Malacostraca, this order of the Eucarida holds a very interesting key position.</t>
  </si>
  <si>
    <t>Casanova, B (corresponding author), Univ Aix Marseille 1, Lab Biol Anim Plancton, Case 18,3 Pl Victor Hugo, F-13331 Marseille 3, France.</t>
  </si>
  <si>
    <t>BRILL ACADEMIC PUBLISHERS</t>
  </si>
  <si>
    <t>0011-216X</t>
  </si>
  <si>
    <t>Crustaceana</t>
  </si>
  <si>
    <t>10.1163/156854003322753439</t>
  </si>
  <si>
    <t>778UZ</t>
  </si>
  <si>
    <t>WOS:000189260900005</t>
  </si>
  <si>
    <t>Romanov, YA; Romanova, NA</t>
  </si>
  <si>
    <t>Concentration of icebergs in the Atlantic sector of the Antarctic region and its seasonal changes</t>
  </si>
  <si>
    <t>Russian Acad Sci, PP Shirshov Oceanol Inst, Moscow 117851, Russia</t>
  </si>
  <si>
    <t>Romanov, YA (corresponding author), Russian Acad Sci, PP Shirshov Oceanol Inst, Nakhimovskii Pr 36, Moscow 117851, Russia.</t>
  </si>
  <si>
    <t>Romanov, Yury/S-6708-2016</t>
  </si>
  <si>
    <t>OCT-NOV</t>
  </si>
  <si>
    <t>743QT</t>
  </si>
  <si>
    <t>WOS:000186585600020</t>
  </si>
  <si>
    <t>Sabehi, G; Massana, R; Bielawski, JP; Rosenberg, M; Delong, EF; Béjà, O</t>
  </si>
  <si>
    <t>Novel proteorhodopsin variants from the Mediterranean and Red Seas</t>
  </si>
  <si>
    <t>MAXIMUM-LIKELIHOOD; EVOLUTIONARY DIVERGENCE; PHYLOGENETIC ANALYSIS; GENETIC EXCHANGE; DNA; PROTEIN; PHOTOTROPHY; COMMUNITIES; PROKARYOTES; RHODOPSINS</t>
  </si>
  <si>
    <t>Proteorhodopsins, ubiquitous retinylidene photoactive proton pumps, were recently found in the widespread uncultured SAR86 bacterial group in oceanic surface waters. To survey proteorhodopsin diversity, new degenerate sets of proteorhodopsin primers were designed based on a genomic proteorhodopsin gene sequence originating from an Antarctic fosmid library. New proteorhodopsin variants were identified in Red Sea samples that were most similar to the original green-light absorbing proteorhodopsins found in Monterey Bay California. Unlike green-absorbing proteorhodopsins however, these new variants contained a glutamine residue at position 105, the same site recently shown to control spectral tuning in naturally occurring proteorhodopsins. Different proteorhodopsin variants were also found in the Mediterranean Sea. These proteorhodopsins formed new and distinctive proteorhodopsin groups. Phylogenetic analyses show that some of the new variants were very different from previously characterized proteorhodopsins, and formed the deepest branching groups found so far among marine proteorhodopsins. The existence of these varied proteorhodopsin sequences suggests that this class of proteins has undergone substantial evolution. These variants could represent functionally divergent paralogous genes, derived from the same or similar species, or orthologous proteorhodopsins that are distributed amongst divergent planktonic microbial taxa.</t>
  </si>
  <si>
    <t>Technion Israel Inst Technol, Dept Biol, IL-32000 Haifa, Israel; CSIC, Inst Ciencies Mar, Dept Biol Marina &amp; Oceanog, E-08003 Barcelona, Spain; UCL, Dept Biol, London WC1E 6BT, England; Monterey Bay Aquarium Res Inst, Moss Landing, CA 95039 USA</t>
  </si>
  <si>
    <t>Technion Israel Institute of Technology; Consejo Superior de Investigaciones Cientificas (CSIC); CSIC - Centro Mediterraneo de Investigaciones Marinas y Ambientales (CMIMA); CSIC - Instituto de Ciencias del Mar (ICM); University of London; University College London; Monterey Bay Aquarium Research Institute</t>
  </si>
  <si>
    <t>Béjà, O (corresponding author), Technion Israel Inst Technol, Dept Biol, IL-32000 Haifa, Israel.</t>
  </si>
  <si>
    <t>beja@tx.technion.ac.il</t>
  </si>
  <si>
    <t>Massana, Ramon/F-4205-2016</t>
  </si>
  <si>
    <t>Bielawski, Joseph/0000-0002-1621-1772; Massana, Ramon/0000-0001-9172-5418</t>
  </si>
  <si>
    <t>10.1046/j.1462-2920.2003.00493.x</t>
  </si>
  <si>
    <t>728YG</t>
  </si>
  <si>
    <t>WOS:000185743500003</t>
  </si>
  <si>
    <t>Marinakis, P; Tamburrini, M; Carratore, V; di Prisco, G</t>
  </si>
  <si>
    <t>Unique features of the hemoglobin system of the Antarctic notothenioid fish Gobionotothen gibberifrons</t>
  </si>
  <si>
    <t>EUROPEAN JOURNAL OF BIOCHEMISTRY</t>
  </si>
  <si>
    <t>fish; Antarctic; hemoglobin; amino-acid sequence; oxygen binding</t>
  </si>
  <si>
    <t>FUNCTIONALLY DISTINCT HEMOGLOBINS; OXYGEN-BINDING-PROPERTIES; TELEOST; PURIFICATION</t>
  </si>
  <si>
    <t>The hemolysate of the Antarctic teleost Gobionotothen gibberifrons (family Nototheniidae) contains two hemoglobins (Hb 1 and Hb 2). The concentration of Hb 2 (15-20% of the total hemoglobin content) is higher than that found in most cold-adapted Notothenioidei. Unlike the other Antarctic species so far examined having two hemoglobins, Hb 1 and Hb 2 do not have globin chains in common. Therefore this hemoglobin system is made of four globins (two alpha- and two beta-chains). The complete amino-acid sequence of the two hemoglobins (Hb 1, alpha(2)(1)beta(2)(1); Hb 2, alpha(2)(2)beta(2)(2)) has been established. The two hemoglobins have different functional properties. Hb 2 has lower oxygen affinity than Hb 1, and higher sensitivity to the modulatory effect of organophosphates. They also differ thermodynamically, as shown by the effects on the oxygen-binding properties brought about by temperature variations. The oxygen-transport system of G. gibberifrons, with two functionally distinct hemoglobins, suggests that the two components may have distinct physiological roles, in relation with life style and the environmental conditions which the fish may have to face. The unique features of the oxygen-transport system of this species are reflected in the phylogeny of the hemoglobin amino-acid sequences, which are intermediate between those of other fish of the family Nototheniidae and of species of the more advanced family Bathydraconidae.</t>
  </si>
  <si>
    <t>di Prisco, G (corresponding author), CNR, Inst Prot Biochem, Via Marconi 12, I-80125 Naples, Italy.</t>
  </si>
  <si>
    <t>diprisco@dafne.ibpe.na.cnr.it</t>
  </si>
  <si>
    <t>TAMBURRINI, MAURIZIO/0000-0001-5987-0957</t>
  </si>
  <si>
    <t>0014-2956</t>
  </si>
  <si>
    <t>EUR J BIOCHEM</t>
  </si>
  <si>
    <t>Eur. J. Biochem.</t>
  </si>
  <si>
    <t>10.1046/j.1432-1033.2003.03786.x</t>
  </si>
  <si>
    <t>722HV</t>
  </si>
  <si>
    <t>WOS:000185370100013</t>
  </si>
  <si>
    <t>Mavromatis, K; Lorito, M; Woo, SL; Bouriotis, V</t>
  </si>
  <si>
    <t>Mode of action and antifungal properties of two cold-adapted chitinases</t>
  </si>
  <si>
    <t>anomer separation; Botrytis cinerea; chitinase; chitooligomers; endochitinase; exochitinase</t>
  </si>
  <si>
    <t>CHITINOLYTIC ENZYMES; SERRATIA-MARCESCENS; RESOLUTION; GENES; PURIFICATION; HYDROLYSIS; MECHANISM; CLONING</t>
  </si>
  <si>
    <t>The mode of action of two chitinases from the Antarctic Arthrobacter sp. strain TAD20 on N-acetylchitooligomers and chitin polymers has been elucidated. Identification of the length of chitin oligomers following enzymatic hydrolysis was verified by using HPLC-based analysis. It was observed that the length of the oligomer is important for enzyme action. The enzymes cannot effectively hydrolyze chitin oligomers with a degree of polymerization lower than four. ArChiA is an endochitinase which hydrolyzes chitin substrates randomly, whereas ArChiB is an excichitinase which degrades chitin chains and N-acetyl-chitooligomers from the nonreducing end, releasing)N-N'-diacetyl-chitobiose. ArChiB (100 mug/ml) inhibited spore germination and hyphal elongation of the phytopathogenic fungus Botrytis cinerea by 15% and 30%, respectively. A more pronounced effect was observed with ArChiA (100 mug/ml) resulting in 70% inhibition of spore germination and 60% inhibition of germ tube elongation. A slight additive effect was observed, when the two enzymes were used in combination, only on the inhibition of germ tube elongation.</t>
  </si>
  <si>
    <t>Univ Crete, Dept Biol, Div Appl Biol &amp; Biotechnol, Iraklion 71110, Crete, Greece; Inst Mol Biol &amp; Biotechnol, Enzyme Technol Div, Iraklion 71110, Crete, Greece; Univ Naples Federico II, Sez Patol Vegetale, Dipartmento Arboricoltura Bot &amp; Patol Vegetale, I-80055 Naples, Italy</t>
  </si>
  <si>
    <t>University of Crete; University of Naples Federico II</t>
  </si>
  <si>
    <t>Univ Crete, Dept Biol, Div Appl Biol &amp; Biotechnol, POB 1470, Iraklion 71110, Crete, Greece.</t>
  </si>
  <si>
    <t>bouriotis@imbb.forth.gr</t>
  </si>
  <si>
    <t>Woo, Sheridan L/B-9165-2019; lorito, matteo/AAP-3289-2020</t>
  </si>
  <si>
    <t>LORITO, Matteo/0000-0002-0529-3709; WOO, Sheridan Lois/0000-0001-8611-6140</t>
  </si>
  <si>
    <t>10.1007/s00792-003-0338-3</t>
  </si>
  <si>
    <t>736PN</t>
  </si>
  <si>
    <t>WOS:000186179400007</t>
  </si>
  <si>
    <t>Bae, SH; Yoon, HI; Park, BK; Kim, Y</t>
  </si>
  <si>
    <t>RETRACTED: Late Quaternary stable isotope record and meltwater discharge anomaly events to the south of the Antarctic Polar Front, Drake Passage (Retracted Article)</t>
  </si>
  <si>
    <t>Article; Retracted Publication</t>
  </si>
  <si>
    <t>NORTH-ATLANTIC; WATER CIRCULATION; INDIAN-OCEAN; ICE-SHEET; DEEP; MECHANISM; PACIFIC; MARGIN; KYR</t>
  </si>
  <si>
    <t>Marine isotope stages (MISs) 1 to 5 were identified in the planktonic delta(18)O record in sediment core DP00-02 just south of the Antarctic Polar Front in the Drake Passage, Antarctica. The oxygen isotope record, based on Neogloboquadrina pachyderma sinistral, is correlated with the contemporaneous global delta(18)O stratigraphy. Marked deviations from the global climate curve suggest a local/regional overprint, particularly during MIS 3 which is considered a colder time period in the ocean record than MIS 1 and MIS 5 during the last interglacial. The comparison shows that negative delta(18)O shifts in core DP00-02 during MIS 3 are larger than mean global changes which show a shift equal to or smaller than 0.5parts per thousand. The Isotope shift, exceeding the glacial-interglacial ice volume effect, probably resulted from changes in the isotope composition of seawater, which is linearly related to decreases in salinity rather than to increases in sea-surface temperature. Increased ice-rafted debris (IRD) content during this interval indicates a strong influx of IRD from melting ice shelves and icebergs, which may be related to upwelling of warmer circumpolar deep water.</t>
  </si>
  <si>
    <t>Korea Ocean Res &amp; Dev Inst, Polar Sci Lab, Seoul 425600, South Korea</t>
  </si>
  <si>
    <t>Korea Institute of Ocean Science &amp; Technology (KIOST)</t>
  </si>
  <si>
    <t>shbae@kordi.re.kr</t>
  </si>
  <si>
    <t>10.1007/s00367-003-0129-y</t>
  </si>
  <si>
    <t>741WC</t>
  </si>
  <si>
    <t>WOS:000186482500004</t>
  </si>
  <si>
    <t>Gaiero, DM; Probst, JL; Depetris, PJ; Bidart, SM; Leleyter, L</t>
  </si>
  <si>
    <t>Iron and other transition metals in Patagonian riverborne and windborne materials: Geochemical control and transport to the southern South Atlantic Ocean</t>
  </si>
  <si>
    <t>TERRIGENOUS SEDIMENT; TRACE-ELEMENTS; HUDSON VOLCANO; HUMIC ACIDS; DUST; RECORD; DEPOSITION; SEA; ADSORPTION; ATMOSPHERE</t>
  </si>
  <si>
    <t>The bulk of particulate transition metals transported by Patagonian rivers shows an upper crustal composition. Riverine particulate 0.5 N HCl leachable trace metal concentrations are mainly controlled by Fe-oxides. Complexation of Fe by dissolved organic carbon (DOC) appears to be an important determinant of the phases transporting trace metals in Patagonian rivers. In contrast, aeolian trace elements have a combined crustal and anthropogenic origin. Aeolian materials have Fe, Mn, and Al contents similar to that found in regional topsoils. However, seasonal concentrations of some metals (e.g., Co, Ph, Cu, and Zn) are much higher than expected from normal crustal weathering and are likely pollutant derived. We estimate that Patagonian sediments are supplied to the South Atlantic shelf in approximately equivalent amounts from the atmosphere (similar to30 X 10(6) T yr(-1)) and coastal erosion (similar to40 X 10(6) T yr(-1)) with much less coming from the rivers (similar to2.0 X 10(6) T yr(-1)). Low trace metal riverine fluxes are linked to the low suspended particulate load of Patagonian rivers, inasmuch most of it is retained in pro-glacial lakes as well as in downstream reservoirs. Based on our estimation of aeolian dust fluxes at the Patagonian coastline, the high nutrient-low chlorophyll sub Antarctic South Atlantic could receive 1.0 to 4.0 mg m(-2) yr(-1) of leachable (0.5 N HCl) Fe. Past and present volcanic activity in the southern Andes-through the ejection of tephra-must be highlighted as another important source of Fe to the South Atlantic Ocean. Based on the 1991 Hudson volcano eruption, it appears that volcanic events can contribute several thousand-fold the mass of leachable Fe to the ocean as is introduced by annual Patagonian dust fallout. Copyright (C) 2003 Elsevier Ltd.</t>
  </si>
  <si>
    <t>Univ Nacl Cordoba, CIGeS, FCEFyN, RA-5000 Cordoba, Argentina; CNRS, Ctr Geochem Surface, F-67084 Strasbourg, France; Univ Toulouse 3, Lab mecan Tranferts Geol, CNRS, UMR 5563, F-31400 Toulouse, France; Univ Nacl Sur, Dept Geol, RA-8000 Bahia Blanca, Buenos Aires, Argentina; Univ Caen, Equipe Rech Phys Chim &amp; Biotechnol, F-14032 Caen, France</t>
  </si>
  <si>
    <t>National University of Cordoba; Universites de Strasbourg Etablissements Associes; Universite de Strasbourg; Centre National de la Recherche Scientifique (CNRS); Universite de Toulouse; Universite Toulouse III - Paul Sabatier; Centre National de la Recherche Scientifique (CNRS); Institut de Recherche pour le Developpement (IRD); CNRS - National Institute for Earth Sciences &amp; Astronomy (INSU); National University of the South; Universite de Caen Normandie</t>
  </si>
  <si>
    <t>Univ Nacl Cordoba, CIGeS, FCEFyN, Avda Velez Sarsfield 299, RA-5000 Cordoba, Argentina.</t>
  </si>
  <si>
    <t>dgaiero@com.uncor.edu</t>
  </si>
  <si>
    <t>PROBST, Jean-Luc/Z-5802-2019</t>
  </si>
  <si>
    <t>PROBST, Jean-Luc/0000-0002-1295-5264; Gaiero, Diego Marcelo/0000-0003-1029-2265</t>
  </si>
  <si>
    <t>10.1016/S0016-7037(03)00211-4</t>
  </si>
  <si>
    <t>728UK</t>
  </si>
  <si>
    <t>WOS:000185734600007</t>
  </si>
  <si>
    <t>Pancotto, VA; Sala, OE; Cabello, M; López, NI; Robson, TM; Ballaré, CL; Caldwell, MM; Scopel, AL</t>
  </si>
  <si>
    <t>Solar UV-B decreases decomposition in herbaceous plant litter in Tierra del Fuego, Argentina:: potential role of an altered decomposer community</t>
  </si>
  <si>
    <t>decomposer community composition; decomposition; Gunnera magellanica; litter quality; ozone depletion; ultraviolet-B solar radiation</t>
  </si>
  <si>
    <t>ULTRAVIOLET-RADIATION; OZONE REDUCTION; ECOSYSTEMS; QUALITY; FUNGI; PROTECTANTS; RESPONSES; IMPACT; FLUXES; LEAVES</t>
  </si>
  <si>
    <t>Tierra del Fuego, Argentina (55degreesS), receives increased solar ultraviolet-B radiation (UV-B) as a result of Antarctic stratospheric ozone depletion. We conducted a field study to examine direct and indirect effects of solar UV-B radiation on decomposition of Gunnera magellanica, a native perennial herb, and on the native community of decomposer organisms. In general, indirect effects of UV-B mostly occur due to changes in the chemical composition of litter, whereas direct effects during decomposition result from changes in decomposer organisms and/or differences in the photochemical breakdown of litter. We designed a full-factorial experiment using senescent leaves that had received either near-ambient or attenuated UV-B during growth. The leaves were distributed in litterbags and allowed to decompose under near-ambient or reduced solar UV-B during the growing season. We evaluated initial litter quality, mass loss, and nutrient release of decomposing litter, and microbial colonization of both initial litter and decomposed litter. We found that litter that decomposed under near-ambient UV-B had significantly less mass loss than litter that decomposed under reduced UV-B. The UV-B conditions received by plants during growth, which did not affect mass loss and nutrient composition of litter, affected fungal species composition but in different ways throughout the decomposition period. Before the decomposition trial, Beauveria bassiana and Penicillium frequentans were higher under reduced UV-B, whereas Cladosporium herbarum and pigmented bacteria were more common under the near-ambient compared to the reduced UV-B treatment. After the decomposition period, leaves that had grown under reduced UV-B showed higher frequency of Penicillium thomii and lower frequency of Trichoderma polysporum than leaves that had grown under near-ambient conditions. The UV-B condition received during decomposition also affected fungal colonization, with Penicillium chrysogenum being more frequent in leaves that had decomposed under reduced UV-B, while the other species were not affected. Our results demonstrate that, in this ecosystem, the effects of UV-B radiation on decomposition apparently occurred mostly through changes in the fungal community, while changes in photochemical breakdown appeared to be less important.</t>
  </si>
  <si>
    <t>Univ Buenos Aires, Fac Agron, IFEVA, Buenos Aires, DF, Argentina; Consejo Nacl Invest Cient &amp; Tecn, RA-1033 Buenos Aires, DF, Argentina; UNLP, Inst Bot Spegazzini, La Plata, Argentina; Univ Buenos Aires, Fac Ciencias Exactas &amp; Nat, Dept Quim Biol, Buenos Aires, DF, Argentina; Utah State Univ, Ctr Ecol, Logan, UT 84322 USA</t>
  </si>
  <si>
    <t>University of Buenos Aires; Consejo Nacional de Investigaciones Cientificas y Tecnicas (CONICET); National University of La Plata; University of Buenos Aires; Utah System of Higher Education; Utah State University</t>
  </si>
  <si>
    <t>Univ Buenos Aires, Fac Agron, IFEVA, Av San Martin 4453,C1417DSE, Buenos Aires, DF, Argentina.</t>
  </si>
  <si>
    <t>sala@ifeva.edu.ar</t>
  </si>
  <si>
    <t>Robson, Thomas Matthew/J-3381-2012; Ballare, Carlos/F-5141-2011</t>
  </si>
  <si>
    <t>Robson, Thomas Matthew/0000-0002-8631-796X; Lopez, Nancy/0000-0002-2966-3014; Sala, Osvaldo/0000-0003-0142-9450; Ballare, Carlos/0000-0001-9129-4531</t>
  </si>
  <si>
    <t>10.1046/j.1365-2486.2003.00667.x</t>
  </si>
  <si>
    <t>730QR</t>
  </si>
  <si>
    <t>WOS:000185841900011</t>
  </si>
  <si>
    <t>Xavier, JC; Croxall, JP; Reid, K</t>
  </si>
  <si>
    <t>Interannual variation in the diets of two albatross species breeding at South Georgia: implications for breeding performance</t>
  </si>
  <si>
    <t>IBIS</t>
  </si>
  <si>
    <t>BLACK-BROWED ALBATROSS; PENGUIN APTENODYTES-PATAGONICUS; ANTARCTIC POLAR FRONT; DIOMEDEA-MELANOPHRIS; KERGUELEN WATERS; CEPHALOPOD PREY; FEEDING ECOLOGY; BIRD-ISLAND; PROCELLARIA-AEQUINOCTIALIS; MARTIALIA-HYADESI</t>
  </si>
  <si>
    <t>The diet and breeding performance of Grey-headed Albatrosses Thalassarche chrysostoma and Black-browed Albatrosses Diomedea melanophris breeding at Bird Island, South Georgia, were studied simultaneously during the chick-rearing period between 1996 and 2000. When samples for all years were combined, cephalopods and crustaceans were the main components in the diet of Grey-headed and Black-browed Albatrosses, respectively. However, their diets exhibited interannual variations. Cephalopods were the most important component in the diet of Grey-headed Albatrosses between 1996 and 1999 (60-75% by mass) but decreased significantly in 2000 (17%), when crustaceans dominated (61%). The Black-browed Albatross diet varied greatly, with cephalopods being the most important component in 1996 (49% by mass) and 1997 (48%), fish in 1998 (32%) and 1999 (40%), and crustaceans in 2000 (63%). In 1998 and 2000 there was a significant change in the cephalopod species present in the diet of both albatross species, when their breeding success was low. The consumption of the ommastrephid Martialia hyadesi was significantly and positively correlated with Grey-headed Albatross breeding success. For Black-browed Albatrosses significant correlations were found between its consumption of the Icefish Champsocephalus gunnari and breeding success, and between its consumption of M. hyadesi and M. hyadesi CPUE (Catch per Unit Effort). These findings suggest that Grey-headed Albatrosses are more reliant on Antarctic Polar Frontal Zone prey (M. hyadesi and Lamprey Geotria australis) whereas Black-browed Albatrosses are more dependent on Antarctic prey (Icefish and Antarctic Krill Euphausia superba). The differences between diets of Grey-headed and Black-browed Albatrosses breeding on different islands of the Southern Ocean showed that Grey-headed Albatrosses feed more on oceanic cephalopods (e.g. M. hyadesi) whereas Black-browed Albatrosses feed primarily on shelf fish (e.g. Blue Whiting Micromesistius australis), suggesting that albatross diets are likely to be influenced by the geographical position of those islands, albatross foraging preference and prey availability.</t>
  </si>
  <si>
    <t>British Antarctic Survey, NERC, Cambridge CB3 0ET, England; Univ Cambridge, Dept Zool, Cambridge CB2 3EJ, England</t>
  </si>
  <si>
    <t>UK Research &amp; Innovation (UKRI); Natural Environment Research Council (NERC); NERC British Antarctic Survey; University of Cambridge</t>
  </si>
  <si>
    <t>Xavier, JC (corresponding author), British Antarctic Survey, NERC, High Cross,Madingley Rd, Cambridge CB3 0ET, England.</t>
  </si>
  <si>
    <t>0019-1019</t>
  </si>
  <si>
    <t>Ibis</t>
  </si>
  <si>
    <t>10.1046/j.1474-919X.2003.00196.x</t>
  </si>
  <si>
    <t>727KR</t>
  </si>
  <si>
    <t>WOS:000185657700006</t>
  </si>
  <si>
    <t>Lea, MA; Dubroca, L</t>
  </si>
  <si>
    <t>Fine-scale linkages between the diving behaviour of Antarctic fur seals and oceanographic features in the southern Indian Ocean</t>
  </si>
  <si>
    <t>Antarctic fur seal; diving; oceanography; Polar Frontal Zone; provisioning; spatial scale</t>
  </si>
  <si>
    <t>POLAR FRONTAL ZONE; ARCTOCEPHALUS-GAZELLA PUPS; KING PENGUINS; KERGUELEN-ISLANDS; WATER TEMPERATURE; MIROUNGA-LEONINA; ELEPHANT SEALS; FISH PREY; FOOD-WEB; SEABIRDS</t>
  </si>
  <si>
    <t>Diving activity, foraging locations and pup provisioning behaviour of 10 female Antarctic fur seals (Arctocephalus gazella) were examined with respect to a range of oceanographic parameters (sea surface temperature, chlorophyll distribution and bathymetry) at the Kerguelen Archipelago in the southern Indian Ocean in February 2000. A multivariate analysis of the environmental parameters at each of the nightly foraging locations indicated the existence of two ecoregions within the foraging range of the seals. Five seals actively foraged in oceanic waters (1870 m) with relatively warm surface water (5.4degreesC) to the north and east of the colony (ecoregion 1), while four others travelled to the southeast (ecoregion 2) to waters typical of the surface expression of the Polar Front (3.7degreesC) located over the continental shelf break (597 m). Only one seal foraged in both regions. Diving behaviour, parameterised on a nightly basis using seven variables, clearly differed between regions, with the diving activity in the warmer ecoregion 1 being characterised by deep dives (55 m), and relatively little time spent diving (47%). Conversely, dives within ecoregion 2 were, on average, to shallower depths (34.5 m), and proportionately more time was spent diving (54%). Despite differences in environmental conditions encountered and associated differences in diving activity, the foraging success of mothers, in terms of daily pup mass gain per foraging cycle, was similar in both ecoregions. The study highlights the use of multivariate analysis in categorising the foraging zones and behaviour of Antarctic fur seals. (C) 2003 International Council for the Exploration of the Sea. Published by Elsevier Ltd. All rights reserved.</t>
  </si>
  <si>
    <t>Univ Tasmania, Sch Zool, Antarct Wildlife Res Unit, Hobart, Tas 7001, Australia; CNRS, Ctr Etudes Biol Chize, F-76360 Beauvoir Sur Niort, France</t>
  </si>
  <si>
    <t>University of Tasmania; Centre National de la Recherche Scientifique (CNRS)</t>
  </si>
  <si>
    <t>Univ British Columbia, Marine Mammal Res Unit, Hut B3,6248 Biol Sci Rd, Vancouver, BC V6T 1Z4, Canada.</t>
  </si>
  <si>
    <t>lea@zoology.ubc.ca</t>
  </si>
  <si>
    <t>Lea, Mary-Anne/E-9054-2013</t>
  </si>
  <si>
    <t>Lea, Mary-Anne/0000-0001-8318-9299</t>
  </si>
  <si>
    <t>1095-9289</t>
  </si>
  <si>
    <t>10.1016/S1054-3139(03)00101-2</t>
  </si>
  <si>
    <t>723JA</t>
  </si>
  <si>
    <t>WOS:000185428200007</t>
  </si>
  <si>
    <t>Shukla, SP; Kashyap, AK</t>
  </si>
  <si>
    <t>An assessment of biopotential of three cyanobacterial isolates from Antarctic for carotenoid production</t>
  </si>
  <si>
    <t>INDIAN JOURNAL OF BIOCHEMISTRY &amp; BIOPHYSICS</t>
  </si>
  <si>
    <t>Antarctic; cyanobacteria; carotenoids; mass-culture</t>
  </si>
  <si>
    <t>BLUE-GREEN-ALGA; BIOCHEMICAL-CHARACTERIZATION; CYTOPLASMIC MEMBRANE; ANABAENA; MUTANTS</t>
  </si>
  <si>
    <t>Specific growth rates and carotenoid contents of three Antarctic and tropical strains of cyanobacteria viz. Anabaena sp., Phormidium sp. and Nostoc sp. were compared in batch and mass cultures to assess bio-potential of Antarctic strains for cost-effective carotenoid production. Antarctic strains though exhibited slightly lower specific growth rates, but contained higher carotenoid contents (per unit dry wt.), than tropical strains. Modification of normal composition of BG-11 culture medium, by altering nitrogen and carbon sources resulted in 25-38% increase in carotenoid content in both types of strains. Mass-culture in indoor and semi-outdoor bio-reactors resulted in 39-113% higher carotenoid content in Antarctic strains, compared to their respective tropical strains. The observations suggest that Antarctic cyanobacteria may have</t>
  </si>
  <si>
    <t>Arunachal Univ, Dept Bot, Itanagar 791111, India; Banaras Hindu Univ, Ctr Adv Study Bot, Varanasi 221005, Uttar Pradesh, India</t>
  </si>
  <si>
    <t>Rajiv Gandhi University, Itanagar; Banaras Hindu University (BHU)</t>
  </si>
  <si>
    <t>Shukla, SP (corresponding author), Arunachal Univ, Dept Bot, Itanagar 791111, India.</t>
  </si>
  <si>
    <t>NATL INST SCIENCE COMMUNICATION</t>
  </si>
  <si>
    <t>NEW DELHI</t>
  </si>
  <si>
    <t>DR K S KRISHNAN MARG, NEW DELHI 110 012, INDIA</t>
  </si>
  <si>
    <t>0301-1208</t>
  </si>
  <si>
    <t>INDIAN J BIOCHEM BIO</t>
  </si>
  <si>
    <t>Indian J. Biochem. Biophys.</t>
  </si>
  <si>
    <t>739RA</t>
  </si>
  <si>
    <t>WOS:000186359200011</t>
  </si>
  <si>
    <t>Rao, VB; Do Carmo, AMC; Franchito, SH</t>
  </si>
  <si>
    <t>Interannual variations of storm tracks in the Southern Hemisphere and their connections with the Antarctic oscillation</t>
  </si>
  <si>
    <t>storm tracks; Antarctic oscillation; interannual variations; Southern Hemisphere</t>
  </si>
  <si>
    <t>ZONAL FLOW VACILLATION; EXTRATROPICAL CYCLONE BEHAVIOR; NCEP-NCAR REANALYSIS; UPPER TROPOSPHERE; ANNULAR MODES; WAVE-PACKETS; PART I; CIRCULATION; VARIABILITY; CLIMATOLOGY</t>
  </si>
  <si>
    <t>Interannual variations of storm tracks in the Southern Hemisphere (SH) are studied. Large interannual variations are found in the enveloping function of meridional wind nu(c), and these suggest some dominant periodicities. Some of these periodicities are a quasi-biennial oscillation in the subtropical branch of the winter storm track and the midlatitude spring storm track. a 3 year period and a long period of 8 years. The Antarctic oscillation (AAO) seems to be connected to the interannual variation of storm tracks in the SH. A significant negative correlation between nu(e) and the AAO index in the high latitudes. a positive correlation in the midlatitudes and again a negative correlation in the subtropics are found throughout the year. During the high index phase of the AAO, the low-level zonal wind shear increases in the region of midlatitude storm tracks and the static stability decreases, increasing the growth rate of baroclinic eddies, i.e. increase of nu(e) (the opposite occurs during the negative phase). This explains the positive correlation in the midlatitudes between nu(c) and the AAO index. In the region of the subtropical storm track during the high index phase the wind shear decreases and the static stability increases. decreasing the growth rates, thus explaining the negative correlation between nu(c) and the AAO index. Copyright (C) 2003 Royal Meteorological Society.</t>
  </si>
  <si>
    <t>INPE, CPTEC, BR-12201970 Sao Jose Dos Campos, SP, Brazil</t>
  </si>
  <si>
    <t>Instituto Nacional de Pesquisas Espaciais (INPE)</t>
  </si>
  <si>
    <t>INPE, CPTEC, CP 515, BR-12201970 Sao Jose Dos Campos, SP, Brazil.</t>
  </si>
  <si>
    <t>vbrao@cptec.inpe.br</t>
  </si>
  <si>
    <t>Brahmananda Rao, Vadlamudi/0000-0001-5905-9806</t>
  </si>
  <si>
    <t>10.1002/joc.948</t>
  </si>
  <si>
    <t>735LC</t>
  </si>
  <si>
    <t>WOS:000186114100008</t>
  </si>
  <si>
    <t>Barbini, R; Fantoni, R; Palucci, A; Colao, F; Sandrini, S; Ceradini, S; Tositti, L; Tubertini, O; Ferrari, GM</t>
  </si>
  <si>
    <t>Simultaneous measurements of remote lidar chlorophyll and surface CO2 distributions in the Ross Sea</t>
  </si>
  <si>
    <t>INTERNATIONAL JOURNAL OF REMOTE SENSING</t>
  </si>
  <si>
    <t>TIME-SERIES STATION; CARBON-DIOXIDE; PARTIAL-PRESSURE; ATMOSPHERIC CO2; SOUTHERN-OCEAN; ATLANTIC; NUTRIENTS; DRAWDOWN; KERFIX</t>
  </si>
  <si>
    <t>A comparison between continuous lidar fluorosensor chlorophyll-a measurements and partial pressure of CO2 (pCO(2)) in surface water is presented. The data were gathered during the XVI Italian Antarctic expedition in the Western Ross Sea and crossing the Southern Ocean. Anticorrelation between CO2 levels and chlorophyll-a determinations was observed throughout the cruise in the late austral summer 2000/01. The survey revealed the presence of high productivity in polynya regions and close to the ice edges. The lidar data, reported here, are consistent with the results of previous campaigns conducted in the same investigated area. The relationship between pCO(2) and chlorophyll-a concentration are discussed in terms of biologically driven phenomena responsible for the pCO(2) undersaturation with respect to the atmospheric value during the austral summer.</t>
  </si>
  <si>
    <t>Natl Inst Energy Environm &amp; New Technol ENEA, Dept Appl Phys, I-00044 Frascati, Rome, Italy; Univ Bologna, Dept Chem, Bologna, Italy; Italian Electrotecn Expt Ctr CESI Spa, Milan, Italy; European Community Joint Res Ctr, Ispra, Varese, Italy</t>
  </si>
  <si>
    <t>University of Bologna; European Commission Joint Research Centre</t>
  </si>
  <si>
    <t>Natl Inst Energy Environm &amp; New Technol ENEA, Dept Appl Phys, Via Fermi 45, I-00044 Frascati, Rome, Italy.</t>
  </si>
  <si>
    <t>Palucci@frascati.enea.it</t>
  </si>
  <si>
    <t>Tositti, Laura/L-3562-2016; sandrini, silvia/K-5140-2012</t>
  </si>
  <si>
    <t>Tositti, Laura/0000-0002-1778-672X; PALUCCI, ANTONIO/0009-0006-9442-1544; sandrini, silvia/0000-0002-3346-6531</t>
  </si>
  <si>
    <t>0143-1161</t>
  </si>
  <si>
    <t>1366-5901</t>
  </si>
  <si>
    <t>INT J REMOTE SENS</t>
  </si>
  <si>
    <t>Int. J. Remote Sens.</t>
  </si>
  <si>
    <t>10.1080/0143116021000053797</t>
  </si>
  <si>
    <t>Remote Sensing; Imaging Science &amp; Photographic Technology</t>
  </si>
  <si>
    <t>723TZ</t>
  </si>
  <si>
    <t>WOS:000185448800007</t>
  </si>
  <si>
    <t>Walden, VP; Warren, SG; Tuttle, E</t>
  </si>
  <si>
    <t>Atmospheric ice crystals over the Antarctic Plateau in winter</t>
  </si>
  <si>
    <t>ARCTIC DIAMOND DUST; LIGHT-SCATTERING; THIN STRATUS; SOUTH-POLE; PARTICLE; CIRRUS; CLOUDS; PARAMETERIZATION; PRECIPITATION; TEMPERATURE</t>
  </si>
  <si>
    <t>Falling ice crystals were collected daily on a gridded glass slide at South Pole Station, Antarctica, during the Antarctic winter of 1992 and were photographed through a microscope. Nine types of ice crystals are identified, which fall into three main categories: diamond dust, blowing snow, and snow grains. The dimensions of about 20 000 crystals were measured on scanned images of the photomicrographs. The predominant crystal types are hexagonal columns and plates (diamond dust) and rounded particles of blowing snow. Diamond-dust crystals have a large range of lengths (2-1000 mum) and aspect ratios (0.1-100). Diamond-dust crystals can usually be classified as either columns or plates; nearly equidimensional crystals are rare. Long prism crystals with aspect ratios greater than 5 were collected often, and very long prisms (Shimizu crystals), 1000 mum long but only 10 mum thick, were collected occasionally. The extreme Shimizu crystals were predominant on only one winter day, but the meteorological conditions on that day were not unusual. Some precipitation was observed on every day; even when the dominant crystal type was blowing snow, there were always, in addition, some snow grains or diamond dust. Blowing-snow particles dominate by number and contribute nearly one-half of the total surface area. Bullet clusters and blowing snow each contribute about one-third of the total volume of atmospheric ice. Size distributions of the equivalent spherical radius are obtained for each of the nine crystal types, as well as for the three main categories of crystals, using the volume-to-area ratio to specify the equivalent spheres. In addition, the effective radius for each day when crystals were sampled is computed. Many of the distributions are approximately lognormal. The effective radius (area-weighted mean radius) of the entire size distribution of diamond dust is 12 mum in winter, somewhat smaller than in summer (15 mum). The small size of wintertime blowing snow allows it to reach heights of tens of meters in winter, as compared with only a few meters in summer. The average effective radius was 11 mum for blowing snow and 24 mum for snow grains. The most probable effective radius for any given day in winter is about 11 mum.</t>
  </si>
  <si>
    <t>Univ Idaho, Dept Geog, Moscow, ID 83844 USA; Univ Washington, Dept Atmospher Sci, Seattle, WA 98195 USA</t>
  </si>
  <si>
    <t>Idaho; University of Idaho; University of Washington; University of Washington Seattle</t>
  </si>
  <si>
    <t>Univ Idaho, Dept Geog, Moscow, ID 83844 USA.</t>
  </si>
  <si>
    <t>vonw@uidaho.edu</t>
  </si>
  <si>
    <t>10.1175/1520-0450(2003)042&lt;1391:AICOTA&gt;2.0.CO;2</t>
  </si>
  <si>
    <t>727NP</t>
  </si>
  <si>
    <t>WOS:000185665200004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</si>
</sst>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84</v>
      </c>
      <c r="AA2" t="s">
        <v>85</v>
      </c>
      <c r="AB2" t="s">
        <v>74</v>
      </c>
      <c r="AC2" t="s">
        <v>74</v>
      </c>
      <c r="AD2" t="s">
        <v>74</v>
      </c>
      <c r="AE2" t="s">
        <v>74</v>
      </c>
      <c r="AF2" t="s">
        <v>74</v>
      </c>
      <c r="AG2">
        <v>27</v>
      </c>
      <c r="AH2">
        <v>48</v>
      </c>
      <c r="AI2">
        <v>52</v>
      </c>
      <c r="AJ2">
        <v>2</v>
      </c>
      <c r="AK2">
        <v>20</v>
      </c>
      <c r="AL2" t="s">
        <v>86</v>
      </c>
      <c r="AM2" t="s">
        <v>87</v>
      </c>
      <c r="AN2" t="s">
        <v>88</v>
      </c>
      <c r="AO2" t="s">
        <v>89</v>
      </c>
      <c r="AP2" t="s">
        <v>90</v>
      </c>
      <c r="AQ2" t="s">
        <v>74</v>
      </c>
      <c r="AR2" t="s">
        <v>91</v>
      </c>
      <c r="AS2" t="s">
        <v>92</v>
      </c>
      <c r="AT2" t="s">
        <v>93</v>
      </c>
      <c r="AU2">
        <v>2004</v>
      </c>
      <c r="AV2">
        <v>27</v>
      </c>
      <c r="AW2">
        <v>5</v>
      </c>
      <c r="AX2" t="s">
        <v>74</v>
      </c>
      <c r="AY2" t="s">
        <v>74</v>
      </c>
      <c r="AZ2" t="s">
        <v>74</v>
      </c>
      <c r="BA2" t="s">
        <v>74</v>
      </c>
      <c r="BB2">
        <v>299</v>
      </c>
      <c r="BC2">
        <v>303</v>
      </c>
      <c r="BD2" t="s">
        <v>74</v>
      </c>
      <c r="BE2" t="s">
        <v>94</v>
      </c>
      <c r="BF2" t="str">
        <f>HYPERLINK("http://dx.doi.org/10.1007/s00300-004-0592-6","http://dx.doi.org/10.1007/s00300-004-0592-6")</f>
        <v>http://dx.doi.org/10.1007/s00300-004-0592-6</v>
      </c>
      <c r="BG2" t="s">
        <v>74</v>
      </c>
      <c r="BH2" t="s">
        <v>74</v>
      </c>
      <c r="BI2">
        <v>5</v>
      </c>
      <c r="BJ2" t="s">
        <v>95</v>
      </c>
      <c r="BK2" t="s">
        <v>96</v>
      </c>
      <c r="BL2" t="s">
        <v>97</v>
      </c>
      <c r="BM2" t="s">
        <v>98</v>
      </c>
      <c r="BN2" t="s">
        <v>74</v>
      </c>
      <c r="BO2" t="s">
        <v>74</v>
      </c>
      <c r="BP2" t="s">
        <v>74</v>
      </c>
      <c r="BQ2" t="s">
        <v>74</v>
      </c>
      <c r="BR2" t="s">
        <v>99</v>
      </c>
      <c r="BS2" t="s">
        <v>100</v>
      </c>
      <c r="BT2" t="str">
        <f>HYPERLINK("https%3A%2F%2Fwww.webofscience.com%2Fwos%2Fwoscc%2Ffull-record%2FWOS:000220189000005","View Full Record in Web of Science")</f>
        <v>View Full Record in Web of Science</v>
      </c>
    </row>
    <row r="3" spans="1:72" x14ac:dyDescent="0.15">
      <c r="A3" t="s">
        <v>72</v>
      </c>
      <c r="B3" t="s">
        <v>101</v>
      </c>
      <c r="C3" t="s">
        <v>74</v>
      </c>
      <c r="D3" t="s">
        <v>74</v>
      </c>
      <c r="E3" t="s">
        <v>74</v>
      </c>
      <c r="F3" t="s">
        <v>101</v>
      </c>
      <c r="G3" t="s">
        <v>74</v>
      </c>
      <c r="H3" t="s">
        <v>74</v>
      </c>
      <c r="I3" t="s">
        <v>102</v>
      </c>
      <c r="J3" t="s">
        <v>76</v>
      </c>
      <c r="K3" t="s">
        <v>74</v>
      </c>
      <c r="L3" t="s">
        <v>74</v>
      </c>
      <c r="M3" t="s">
        <v>77</v>
      </c>
      <c r="N3" t="s">
        <v>78</v>
      </c>
      <c r="O3" t="s">
        <v>74</v>
      </c>
      <c r="P3" t="s">
        <v>74</v>
      </c>
      <c r="Q3" t="s">
        <v>74</v>
      </c>
      <c r="R3" t="s">
        <v>74</v>
      </c>
      <c r="S3" t="s">
        <v>74</v>
      </c>
      <c r="T3" t="s">
        <v>103</v>
      </c>
      <c r="U3" t="s">
        <v>104</v>
      </c>
      <c r="V3" t="s">
        <v>105</v>
      </c>
      <c r="W3" t="s">
        <v>106</v>
      </c>
      <c r="X3" t="s">
        <v>107</v>
      </c>
      <c r="Y3" t="s">
        <v>108</v>
      </c>
      <c r="Z3" t="s">
        <v>109</v>
      </c>
      <c r="AA3" t="s">
        <v>74</v>
      </c>
      <c r="AB3" t="s">
        <v>110</v>
      </c>
      <c r="AC3" t="s">
        <v>74</v>
      </c>
      <c r="AD3" t="s">
        <v>74</v>
      </c>
      <c r="AE3" t="s">
        <v>74</v>
      </c>
      <c r="AF3" t="s">
        <v>74</v>
      </c>
      <c r="AG3">
        <v>43</v>
      </c>
      <c r="AH3">
        <v>61</v>
      </c>
      <c r="AI3">
        <v>70</v>
      </c>
      <c r="AJ3">
        <v>0</v>
      </c>
      <c r="AK3">
        <v>14</v>
      </c>
      <c r="AL3" t="s">
        <v>86</v>
      </c>
      <c r="AM3" t="s">
        <v>87</v>
      </c>
      <c r="AN3" t="s">
        <v>88</v>
      </c>
      <c r="AO3" t="s">
        <v>89</v>
      </c>
      <c r="AP3" t="s">
        <v>90</v>
      </c>
      <c r="AQ3" t="s">
        <v>74</v>
      </c>
      <c r="AR3" t="s">
        <v>91</v>
      </c>
      <c r="AS3" t="s">
        <v>92</v>
      </c>
      <c r="AT3" t="s">
        <v>93</v>
      </c>
      <c r="AU3">
        <v>2004</v>
      </c>
      <c r="AV3">
        <v>27</v>
      </c>
      <c r="AW3">
        <v>5</v>
      </c>
      <c r="AX3" t="s">
        <v>74</v>
      </c>
      <c r="AY3" t="s">
        <v>74</v>
      </c>
      <c r="AZ3" t="s">
        <v>74</v>
      </c>
      <c r="BA3" t="s">
        <v>74</v>
      </c>
      <c r="BB3">
        <v>304</v>
      </c>
      <c r="BC3">
        <v>311</v>
      </c>
      <c r="BD3" t="s">
        <v>74</v>
      </c>
      <c r="BE3" t="s">
        <v>111</v>
      </c>
      <c r="BF3" t="str">
        <f>HYPERLINK("http://dx.doi.org/10.1007/s00300-003-0587-8","http://dx.doi.org/10.1007/s00300-003-0587-8")</f>
        <v>http://dx.doi.org/10.1007/s00300-003-0587-8</v>
      </c>
      <c r="BG3" t="s">
        <v>74</v>
      </c>
      <c r="BH3" t="s">
        <v>74</v>
      </c>
      <c r="BI3">
        <v>8</v>
      </c>
      <c r="BJ3" t="s">
        <v>95</v>
      </c>
      <c r="BK3" t="s">
        <v>96</v>
      </c>
      <c r="BL3" t="s">
        <v>97</v>
      </c>
      <c r="BM3" t="s">
        <v>98</v>
      </c>
      <c r="BN3" t="s">
        <v>74</v>
      </c>
      <c r="BO3" t="s">
        <v>74</v>
      </c>
      <c r="BP3" t="s">
        <v>74</v>
      </c>
      <c r="BQ3" t="s">
        <v>74</v>
      </c>
      <c r="BR3" t="s">
        <v>99</v>
      </c>
      <c r="BS3" t="s">
        <v>112</v>
      </c>
      <c r="BT3" t="str">
        <f>HYPERLINK("https%3A%2F%2Fwww.webofscience.com%2Fwos%2Fwoscc%2Ffull-record%2FWOS:000220189000006","View Full Record in Web of Science")</f>
        <v>View Full Record in Web of Science</v>
      </c>
    </row>
    <row r="4" spans="1:72" x14ac:dyDescent="0.15">
      <c r="A4" t="s">
        <v>72</v>
      </c>
      <c r="B4" t="s">
        <v>113</v>
      </c>
      <c r="C4" t="s">
        <v>74</v>
      </c>
      <c r="D4" t="s">
        <v>74</v>
      </c>
      <c r="E4" t="s">
        <v>74</v>
      </c>
      <c r="F4" t="s">
        <v>113</v>
      </c>
      <c r="G4" t="s">
        <v>74</v>
      </c>
      <c r="H4" t="s">
        <v>74</v>
      </c>
      <c r="I4" t="s">
        <v>114</v>
      </c>
      <c r="J4" t="s">
        <v>76</v>
      </c>
      <c r="K4" t="s">
        <v>74</v>
      </c>
      <c r="L4" t="s">
        <v>74</v>
      </c>
      <c r="M4" t="s">
        <v>77</v>
      </c>
      <c r="N4" t="s">
        <v>78</v>
      </c>
      <c r="O4" t="s">
        <v>74</v>
      </c>
      <c r="P4" t="s">
        <v>74</v>
      </c>
      <c r="Q4" t="s">
        <v>74</v>
      </c>
      <c r="R4" t="s">
        <v>74</v>
      </c>
      <c r="S4" t="s">
        <v>74</v>
      </c>
      <c r="T4" t="s">
        <v>74</v>
      </c>
      <c r="U4" t="s">
        <v>115</v>
      </c>
      <c r="V4" t="s">
        <v>116</v>
      </c>
      <c r="W4" t="s">
        <v>117</v>
      </c>
      <c r="X4" t="s">
        <v>118</v>
      </c>
      <c r="Y4" t="s">
        <v>119</v>
      </c>
      <c r="Z4" t="s">
        <v>120</v>
      </c>
      <c r="AA4" t="s">
        <v>121</v>
      </c>
      <c r="AB4" t="s">
        <v>122</v>
      </c>
      <c r="AC4" t="s">
        <v>74</v>
      </c>
      <c r="AD4" t="s">
        <v>74</v>
      </c>
      <c r="AE4" t="s">
        <v>74</v>
      </c>
      <c r="AF4" t="s">
        <v>74</v>
      </c>
      <c r="AG4">
        <v>40</v>
      </c>
      <c r="AH4">
        <v>51</v>
      </c>
      <c r="AI4">
        <v>58</v>
      </c>
      <c r="AJ4">
        <v>0</v>
      </c>
      <c r="AK4">
        <v>11</v>
      </c>
      <c r="AL4" t="s">
        <v>123</v>
      </c>
      <c r="AM4" t="s">
        <v>87</v>
      </c>
      <c r="AN4" t="s">
        <v>124</v>
      </c>
      <c r="AO4" t="s">
        <v>89</v>
      </c>
      <c r="AP4" t="s">
        <v>74</v>
      </c>
      <c r="AQ4" t="s">
        <v>74</v>
      </c>
      <c r="AR4" t="s">
        <v>91</v>
      </c>
      <c r="AS4" t="s">
        <v>92</v>
      </c>
      <c r="AT4" t="s">
        <v>93</v>
      </c>
      <c r="AU4">
        <v>2004</v>
      </c>
      <c r="AV4">
        <v>27</v>
      </c>
      <c r="AW4">
        <v>5</v>
      </c>
      <c r="AX4" t="s">
        <v>74</v>
      </c>
      <c r="AY4" t="s">
        <v>74</v>
      </c>
      <c r="AZ4" t="s">
        <v>74</v>
      </c>
      <c r="BA4" t="s">
        <v>74</v>
      </c>
      <c r="BB4">
        <v>312</v>
      </c>
      <c r="BC4">
        <v>319</v>
      </c>
      <c r="BD4" t="s">
        <v>74</v>
      </c>
      <c r="BE4" t="s">
        <v>125</v>
      </c>
      <c r="BF4" t="str">
        <f>HYPERLINK("http://dx.doi.org/10.1007/s00300-004-0594-4","http://dx.doi.org/10.1007/s00300-004-0594-4")</f>
        <v>http://dx.doi.org/10.1007/s00300-004-0594-4</v>
      </c>
      <c r="BG4" t="s">
        <v>74</v>
      </c>
      <c r="BH4" t="s">
        <v>74</v>
      </c>
      <c r="BI4">
        <v>8</v>
      </c>
      <c r="BJ4" t="s">
        <v>95</v>
      </c>
      <c r="BK4" t="s">
        <v>96</v>
      </c>
      <c r="BL4" t="s">
        <v>97</v>
      </c>
      <c r="BM4" t="s">
        <v>98</v>
      </c>
      <c r="BN4" t="s">
        <v>74</v>
      </c>
      <c r="BO4" t="s">
        <v>74</v>
      </c>
      <c r="BP4" t="s">
        <v>74</v>
      </c>
      <c r="BQ4" t="s">
        <v>74</v>
      </c>
      <c r="BR4" t="s">
        <v>99</v>
      </c>
      <c r="BS4" t="s">
        <v>126</v>
      </c>
      <c r="BT4" t="str">
        <f>HYPERLINK("https%3A%2F%2Fwww.webofscience.com%2Fwos%2Fwoscc%2Ffull-record%2FWOS:000220189000007","View Full Record in Web of Science")</f>
        <v>View Full Record in Web of Science</v>
      </c>
    </row>
    <row r="5" spans="1:72" x14ac:dyDescent="0.15">
      <c r="A5" t="s">
        <v>72</v>
      </c>
      <c r="B5" t="s">
        <v>127</v>
      </c>
      <c r="C5" t="s">
        <v>74</v>
      </c>
      <c r="D5" t="s">
        <v>74</v>
      </c>
      <c r="E5" t="s">
        <v>74</v>
      </c>
      <c r="F5" t="s">
        <v>127</v>
      </c>
      <c r="G5" t="s">
        <v>74</v>
      </c>
      <c r="H5" t="s">
        <v>74</v>
      </c>
      <c r="I5" t="s">
        <v>128</v>
      </c>
      <c r="J5" t="s">
        <v>129</v>
      </c>
      <c r="K5" t="s">
        <v>74</v>
      </c>
      <c r="L5" t="s">
        <v>74</v>
      </c>
      <c r="M5" t="s">
        <v>77</v>
      </c>
      <c r="N5" t="s">
        <v>78</v>
      </c>
      <c r="O5" t="s">
        <v>74</v>
      </c>
      <c r="P5" t="s">
        <v>74</v>
      </c>
      <c r="Q5" t="s">
        <v>74</v>
      </c>
      <c r="R5" t="s">
        <v>74</v>
      </c>
      <c r="S5" t="s">
        <v>74</v>
      </c>
      <c r="T5" t="s">
        <v>74</v>
      </c>
      <c r="U5" t="s">
        <v>74</v>
      </c>
      <c r="V5" t="s">
        <v>130</v>
      </c>
      <c r="W5" t="s">
        <v>131</v>
      </c>
      <c r="X5" t="s">
        <v>132</v>
      </c>
      <c r="Y5" t="s">
        <v>133</v>
      </c>
      <c r="Z5" t="s">
        <v>134</v>
      </c>
      <c r="AA5" t="s">
        <v>74</v>
      </c>
      <c r="AB5" t="s">
        <v>135</v>
      </c>
      <c r="AC5" t="s">
        <v>74</v>
      </c>
      <c r="AD5" t="s">
        <v>74</v>
      </c>
      <c r="AE5" t="s">
        <v>74</v>
      </c>
      <c r="AF5" t="s">
        <v>74</v>
      </c>
      <c r="AG5">
        <v>37</v>
      </c>
      <c r="AH5">
        <v>7</v>
      </c>
      <c r="AI5">
        <v>9</v>
      </c>
      <c r="AJ5">
        <v>1</v>
      </c>
      <c r="AK5">
        <v>9</v>
      </c>
      <c r="AL5" t="s">
        <v>136</v>
      </c>
      <c r="AM5" t="s">
        <v>87</v>
      </c>
      <c r="AN5" t="s">
        <v>137</v>
      </c>
      <c r="AO5" t="s">
        <v>138</v>
      </c>
      <c r="AP5" t="s">
        <v>139</v>
      </c>
      <c r="AQ5" t="s">
        <v>74</v>
      </c>
      <c r="AR5" t="s">
        <v>140</v>
      </c>
      <c r="AS5" t="s">
        <v>141</v>
      </c>
      <c r="AT5" t="s">
        <v>93</v>
      </c>
      <c r="AU5">
        <v>2004</v>
      </c>
      <c r="AV5">
        <v>40</v>
      </c>
      <c r="AW5">
        <v>213</v>
      </c>
      <c r="AX5" t="s">
        <v>74</v>
      </c>
      <c r="AY5" t="s">
        <v>74</v>
      </c>
      <c r="AZ5" t="s">
        <v>74</v>
      </c>
      <c r="BA5" t="s">
        <v>74</v>
      </c>
      <c r="BB5">
        <v>97</v>
      </c>
      <c r="BC5">
        <v>105</v>
      </c>
      <c r="BD5" t="s">
        <v>74</v>
      </c>
      <c r="BE5" t="s">
        <v>142</v>
      </c>
      <c r="BF5" t="str">
        <f>HYPERLINK("http://dx.doi.org/10.1017/S0032247403003322","http://dx.doi.org/10.1017/S0032247403003322")</f>
        <v>http://dx.doi.org/10.1017/S0032247403003322</v>
      </c>
      <c r="BG5" t="s">
        <v>74</v>
      </c>
      <c r="BH5" t="s">
        <v>74</v>
      </c>
      <c r="BI5">
        <v>9</v>
      </c>
      <c r="BJ5" t="s">
        <v>143</v>
      </c>
      <c r="BK5" t="s">
        <v>96</v>
      </c>
      <c r="BL5" t="s">
        <v>144</v>
      </c>
      <c r="BM5" t="s">
        <v>145</v>
      </c>
      <c r="BN5" t="s">
        <v>74</v>
      </c>
      <c r="BO5" t="s">
        <v>74</v>
      </c>
      <c r="BP5" t="s">
        <v>74</v>
      </c>
      <c r="BQ5" t="s">
        <v>74</v>
      </c>
      <c r="BR5" t="s">
        <v>99</v>
      </c>
      <c r="BS5" t="s">
        <v>146</v>
      </c>
      <c r="BT5" t="str">
        <f>HYPERLINK("https%3A%2F%2Fwww.webofscience.com%2Fwos%2Fwoscc%2Ffull-record%2FWOS:000226634700001","View Full Record in Web of Science")</f>
        <v>View Full Record in Web of Science</v>
      </c>
    </row>
    <row r="6" spans="1:72" x14ac:dyDescent="0.15">
      <c r="A6" t="s">
        <v>72</v>
      </c>
      <c r="B6" t="s">
        <v>147</v>
      </c>
      <c r="C6" t="s">
        <v>74</v>
      </c>
      <c r="D6" t="s">
        <v>74</v>
      </c>
      <c r="E6" t="s">
        <v>74</v>
      </c>
      <c r="F6" t="s">
        <v>147</v>
      </c>
      <c r="G6" t="s">
        <v>74</v>
      </c>
      <c r="H6" t="s">
        <v>74</v>
      </c>
      <c r="I6" t="s">
        <v>148</v>
      </c>
      <c r="J6" t="s">
        <v>129</v>
      </c>
      <c r="K6" t="s">
        <v>74</v>
      </c>
      <c r="L6" t="s">
        <v>74</v>
      </c>
      <c r="M6" t="s">
        <v>77</v>
      </c>
      <c r="N6" t="s">
        <v>78</v>
      </c>
      <c r="O6" t="s">
        <v>74</v>
      </c>
      <c r="P6" t="s">
        <v>74</v>
      </c>
      <c r="Q6" t="s">
        <v>74</v>
      </c>
      <c r="R6" t="s">
        <v>74</v>
      </c>
      <c r="S6" t="s">
        <v>74</v>
      </c>
      <c r="T6" t="s">
        <v>74</v>
      </c>
      <c r="U6" t="s">
        <v>149</v>
      </c>
      <c r="V6" t="s">
        <v>150</v>
      </c>
      <c r="W6" t="s">
        <v>151</v>
      </c>
      <c r="X6" t="s">
        <v>152</v>
      </c>
      <c r="Y6" t="s">
        <v>153</v>
      </c>
      <c r="Z6" t="s">
        <v>74</v>
      </c>
      <c r="AA6" t="s">
        <v>74</v>
      </c>
      <c r="AB6" t="s">
        <v>154</v>
      </c>
      <c r="AC6" t="s">
        <v>74</v>
      </c>
      <c r="AD6" t="s">
        <v>74</v>
      </c>
      <c r="AE6" t="s">
        <v>74</v>
      </c>
      <c r="AF6" t="s">
        <v>74</v>
      </c>
      <c r="AG6">
        <v>18</v>
      </c>
      <c r="AH6">
        <v>20</v>
      </c>
      <c r="AI6">
        <v>21</v>
      </c>
      <c r="AJ6">
        <v>0</v>
      </c>
      <c r="AK6">
        <v>13</v>
      </c>
      <c r="AL6" t="s">
        <v>136</v>
      </c>
      <c r="AM6" t="s">
        <v>87</v>
      </c>
      <c r="AN6" t="s">
        <v>137</v>
      </c>
      <c r="AO6" t="s">
        <v>138</v>
      </c>
      <c r="AP6" t="s">
        <v>139</v>
      </c>
      <c r="AQ6" t="s">
        <v>74</v>
      </c>
      <c r="AR6" t="s">
        <v>140</v>
      </c>
      <c r="AS6" t="s">
        <v>141</v>
      </c>
      <c r="AT6" t="s">
        <v>93</v>
      </c>
      <c r="AU6">
        <v>2004</v>
      </c>
      <c r="AV6">
        <v>40</v>
      </c>
      <c r="AW6">
        <v>213</v>
      </c>
      <c r="AX6" t="s">
        <v>74</v>
      </c>
      <c r="AY6" t="s">
        <v>74</v>
      </c>
      <c r="AZ6" t="s">
        <v>74</v>
      </c>
      <c r="BA6" t="s">
        <v>74</v>
      </c>
      <c r="BB6">
        <v>143</v>
      </c>
      <c r="BC6">
        <v>151</v>
      </c>
      <c r="BD6" t="s">
        <v>74</v>
      </c>
      <c r="BE6" t="s">
        <v>155</v>
      </c>
      <c r="BF6" t="str">
        <f>HYPERLINK("http://dx.doi.org/10.1017/S0032247403003334","http://dx.doi.org/10.1017/S0032247403003334")</f>
        <v>http://dx.doi.org/10.1017/S0032247403003334</v>
      </c>
      <c r="BG6" t="s">
        <v>74</v>
      </c>
      <c r="BH6" t="s">
        <v>74</v>
      </c>
      <c r="BI6">
        <v>9</v>
      </c>
      <c r="BJ6" t="s">
        <v>143</v>
      </c>
      <c r="BK6" t="s">
        <v>96</v>
      </c>
      <c r="BL6" t="s">
        <v>144</v>
      </c>
      <c r="BM6" t="s">
        <v>145</v>
      </c>
      <c r="BN6" t="s">
        <v>74</v>
      </c>
      <c r="BO6" t="s">
        <v>156</v>
      </c>
      <c r="BP6" t="s">
        <v>74</v>
      </c>
      <c r="BQ6" t="s">
        <v>74</v>
      </c>
      <c r="BR6" t="s">
        <v>99</v>
      </c>
      <c r="BS6" t="s">
        <v>157</v>
      </c>
      <c r="BT6" t="str">
        <f>HYPERLINK("https%3A%2F%2Fwww.webofscience.com%2Fwos%2Fwoscc%2Ffull-record%2FWOS:000226634700006","View Full Record in Web of Science")</f>
        <v>View Full Record in Web of Science</v>
      </c>
    </row>
    <row r="7" spans="1:72" x14ac:dyDescent="0.15">
      <c r="A7" t="s">
        <v>72</v>
      </c>
      <c r="B7" t="s">
        <v>158</v>
      </c>
      <c r="C7" t="s">
        <v>74</v>
      </c>
      <c r="D7" t="s">
        <v>74</v>
      </c>
      <c r="E7" t="s">
        <v>74</v>
      </c>
      <c r="F7" t="s">
        <v>158</v>
      </c>
      <c r="G7" t="s">
        <v>74</v>
      </c>
      <c r="H7" t="s">
        <v>74</v>
      </c>
      <c r="I7" t="s">
        <v>159</v>
      </c>
      <c r="J7" t="s">
        <v>129</v>
      </c>
      <c r="K7" t="s">
        <v>74</v>
      </c>
      <c r="L7" t="s">
        <v>74</v>
      </c>
      <c r="M7" t="s">
        <v>77</v>
      </c>
      <c r="N7" t="s">
        <v>78</v>
      </c>
      <c r="O7" t="s">
        <v>74</v>
      </c>
      <c r="P7" t="s">
        <v>74</v>
      </c>
      <c r="Q7" t="s">
        <v>74</v>
      </c>
      <c r="R7" t="s">
        <v>74</v>
      </c>
      <c r="S7" t="s">
        <v>74</v>
      </c>
      <c r="T7" t="s">
        <v>74</v>
      </c>
      <c r="U7" t="s">
        <v>74</v>
      </c>
      <c r="V7" t="s">
        <v>160</v>
      </c>
      <c r="W7" t="s">
        <v>161</v>
      </c>
      <c r="X7" t="s">
        <v>74</v>
      </c>
      <c r="Y7" t="s">
        <v>162</v>
      </c>
      <c r="Z7" t="s">
        <v>74</v>
      </c>
      <c r="AA7" t="s">
        <v>74</v>
      </c>
      <c r="AB7" t="s">
        <v>74</v>
      </c>
      <c r="AC7" t="s">
        <v>74</v>
      </c>
      <c r="AD7" t="s">
        <v>74</v>
      </c>
      <c r="AE7" t="s">
        <v>74</v>
      </c>
      <c r="AF7" t="s">
        <v>74</v>
      </c>
      <c r="AG7">
        <v>91</v>
      </c>
      <c r="AH7">
        <v>5</v>
      </c>
      <c r="AI7">
        <v>5</v>
      </c>
      <c r="AJ7">
        <v>0</v>
      </c>
      <c r="AK7">
        <v>2</v>
      </c>
      <c r="AL7" t="s">
        <v>136</v>
      </c>
      <c r="AM7" t="s">
        <v>87</v>
      </c>
      <c r="AN7" t="s">
        <v>163</v>
      </c>
      <c r="AO7" t="s">
        <v>138</v>
      </c>
      <c r="AP7" t="s">
        <v>74</v>
      </c>
      <c r="AQ7" t="s">
        <v>74</v>
      </c>
      <c r="AR7" t="s">
        <v>140</v>
      </c>
      <c r="AS7" t="s">
        <v>141</v>
      </c>
      <c r="AT7" t="s">
        <v>93</v>
      </c>
      <c r="AU7">
        <v>2004</v>
      </c>
      <c r="AV7">
        <v>40</v>
      </c>
      <c r="AW7">
        <v>213</v>
      </c>
      <c r="AX7" t="s">
        <v>74</v>
      </c>
      <c r="AY7" t="s">
        <v>74</v>
      </c>
      <c r="AZ7" t="s">
        <v>74</v>
      </c>
      <c r="BA7" t="s">
        <v>74</v>
      </c>
      <c r="BB7">
        <v>153</v>
      </c>
      <c r="BC7">
        <v>165</v>
      </c>
      <c r="BD7" t="s">
        <v>74</v>
      </c>
      <c r="BE7" t="s">
        <v>164</v>
      </c>
      <c r="BF7" t="str">
        <f>HYPERLINK("http://dx.doi.org/10.1017/S0032247403003346","http://dx.doi.org/10.1017/S0032247403003346")</f>
        <v>http://dx.doi.org/10.1017/S0032247403003346</v>
      </c>
      <c r="BG7" t="s">
        <v>74</v>
      </c>
      <c r="BH7" t="s">
        <v>74</v>
      </c>
      <c r="BI7">
        <v>13</v>
      </c>
      <c r="BJ7" t="s">
        <v>143</v>
      </c>
      <c r="BK7" t="s">
        <v>96</v>
      </c>
      <c r="BL7" t="s">
        <v>144</v>
      </c>
      <c r="BM7" t="s">
        <v>145</v>
      </c>
      <c r="BN7" t="s">
        <v>74</v>
      </c>
      <c r="BO7" t="s">
        <v>74</v>
      </c>
      <c r="BP7" t="s">
        <v>74</v>
      </c>
      <c r="BQ7" t="s">
        <v>74</v>
      </c>
      <c r="BR7" t="s">
        <v>99</v>
      </c>
      <c r="BS7" t="s">
        <v>165</v>
      </c>
      <c r="BT7" t="str">
        <f>HYPERLINK("https%3A%2F%2Fwww.webofscience.com%2Fwos%2Fwoscc%2Ffull-record%2FWOS:000226634700007","View Full Record in Web of Science")</f>
        <v>View Full Record in Web of Science</v>
      </c>
    </row>
    <row r="8" spans="1:72" x14ac:dyDescent="0.15">
      <c r="A8" t="s">
        <v>72</v>
      </c>
      <c r="B8" t="s">
        <v>166</v>
      </c>
      <c r="C8" t="s">
        <v>74</v>
      </c>
      <c r="D8" t="s">
        <v>74</v>
      </c>
      <c r="E8" t="s">
        <v>74</v>
      </c>
      <c r="F8" t="s">
        <v>166</v>
      </c>
      <c r="G8" t="s">
        <v>74</v>
      </c>
      <c r="H8" t="s">
        <v>74</v>
      </c>
      <c r="I8" t="s">
        <v>167</v>
      </c>
      <c r="J8" t="s">
        <v>168</v>
      </c>
      <c r="K8" t="s">
        <v>74</v>
      </c>
      <c r="L8" t="s">
        <v>74</v>
      </c>
      <c r="M8" t="s">
        <v>77</v>
      </c>
      <c r="N8" t="s">
        <v>78</v>
      </c>
      <c r="O8" t="s">
        <v>74</v>
      </c>
      <c r="P8" t="s">
        <v>74</v>
      </c>
      <c r="Q8" t="s">
        <v>74</v>
      </c>
      <c r="R8" t="s">
        <v>74</v>
      </c>
      <c r="S8" t="s">
        <v>74</v>
      </c>
      <c r="T8" t="s">
        <v>169</v>
      </c>
      <c r="U8" t="s">
        <v>170</v>
      </c>
      <c r="V8" t="s">
        <v>171</v>
      </c>
      <c r="W8" t="s">
        <v>172</v>
      </c>
      <c r="X8" t="s">
        <v>82</v>
      </c>
      <c r="Y8" t="s">
        <v>173</v>
      </c>
      <c r="Z8" t="s">
        <v>174</v>
      </c>
      <c r="AA8" t="s">
        <v>175</v>
      </c>
      <c r="AB8" t="s">
        <v>176</v>
      </c>
      <c r="AC8" t="s">
        <v>74</v>
      </c>
      <c r="AD8" t="s">
        <v>74</v>
      </c>
      <c r="AE8" t="s">
        <v>74</v>
      </c>
      <c r="AF8" t="s">
        <v>74</v>
      </c>
      <c r="AG8">
        <v>47</v>
      </c>
      <c r="AH8">
        <v>65</v>
      </c>
      <c r="AI8">
        <v>68</v>
      </c>
      <c r="AJ8">
        <v>1</v>
      </c>
      <c r="AK8">
        <v>11</v>
      </c>
      <c r="AL8" t="s">
        <v>177</v>
      </c>
      <c r="AM8" t="s">
        <v>178</v>
      </c>
      <c r="AN8" t="s">
        <v>179</v>
      </c>
      <c r="AO8" t="s">
        <v>180</v>
      </c>
      <c r="AP8" t="s">
        <v>181</v>
      </c>
      <c r="AQ8" t="s">
        <v>74</v>
      </c>
      <c r="AR8" t="s">
        <v>182</v>
      </c>
      <c r="AS8" t="s">
        <v>183</v>
      </c>
      <c r="AT8" t="s">
        <v>93</v>
      </c>
      <c r="AU8">
        <v>2004</v>
      </c>
      <c r="AV8">
        <v>130</v>
      </c>
      <c r="AW8">
        <v>598</v>
      </c>
      <c r="AX8" t="s">
        <v>184</v>
      </c>
      <c r="AY8" t="s">
        <v>74</v>
      </c>
      <c r="AZ8" t="s">
        <v>74</v>
      </c>
      <c r="BA8" t="s">
        <v>74</v>
      </c>
      <c r="BB8">
        <v>1023</v>
      </c>
      <c r="BC8">
        <v>1045</v>
      </c>
      <c r="BD8" t="s">
        <v>74</v>
      </c>
      <c r="BE8" t="s">
        <v>185</v>
      </c>
      <c r="BF8" t="str">
        <f>HYPERLINK("http://dx.doi.org/10.1256/qj.03.24","http://dx.doi.org/10.1256/qj.03.24")</f>
        <v>http://dx.doi.org/10.1256/qj.03.24</v>
      </c>
      <c r="BG8" t="s">
        <v>74</v>
      </c>
      <c r="BH8" t="s">
        <v>74</v>
      </c>
      <c r="BI8">
        <v>23</v>
      </c>
      <c r="BJ8" t="s">
        <v>186</v>
      </c>
      <c r="BK8" t="s">
        <v>96</v>
      </c>
      <c r="BL8" t="s">
        <v>186</v>
      </c>
      <c r="BM8" t="s">
        <v>187</v>
      </c>
      <c r="BN8" t="s">
        <v>74</v>
      </c>
      <c r="BO8" t="s">
        <v>188</v>
      </c>
      <c r="BP8" t="s">
        <v>74</v>
      </c>
      <c r="BQ8" t="s">
        <v>74</v>
      </c>
      <c r="BR8" t="s">
        <v>99</v>
      </c>
      <c r="BS8" t="s">
        <v>189</v>
      </c>
      <c r="BT8" t="str">
        <f>HYPERLINK("https%3A%2F%2Fwww.webofscience.com%2Fwos%2Fwoscc%2Ffull-record%2FWOS:000221292200014","View Full Record in Web of Science")</f>
        <v>View Full Record in Web of Science</v>
      </c>
    </row>
    <row r="9" spans="1:72" x14ac:dyDescent="0.15">
      <c r="A9" t="s">
        <v>72</v>
      </c>
      <c r="B9" t="s">
        <v>190</v>
      </c>
      <c r="C9" t="s">
        <v>74</v>
      </c>
      <c r="D9" t="s">
        <v>74</v>
      </c>
      <c r="E9" t="s">
        <v>74</v>
      </c>
      <c r="F9" t="s">
        <v>190</v>
      </c>
      <c r="G9" t="s">
        <v>74</v>
      </c>
      <c r="H9" t="s">
        <v>74</v>
      </c>
      <c r="I9" t="s">
        <v>191</v>
      </c>
      <c r="J9" t="s">
        <v>168</v>
      </c>
      <c r="K9" t="s">
        <v>74</v>
      </c>
      <c r="L9" t="s">
        <v>74</v>
      </c>
      <c r="M9" t="s">
        <v>77</v>
      </c>
      <c r="N9" t="s">
        <v>78</v>
      </c>
      <c r="O9" t="s">
        <v>74</v>
      </c>
      <c r="P9" t="s">
        <v>74</v>
      </c>
      <c r="Q9" t="s">
        <v>74</v>
      </c>
      <c r="R9" t="s">
        <v>74</v>
      </c>
      <c r="S9" t="s">
        <v>74</v>
      </c>
      <c r="T9" t="s">
        <v>192</v>
      </c>
      <c r="U9" t="s">
        <v>193</v>
      </c>
      <c r="V9" t="s">
        <v>194</v>
      </c>
      <c r="W9" t="s">
        <v>195</v>
      </c>
      <c r="X9" t="s">
        <v>82</v>
      </c>
      <c r="Y9" t="s">
        <v>196</v>
      </c>
      <c r="Z9" t="s">
        <v>197</v>
      </c>
      <c r="AA9" t="s">
        <v>74</v>
      </c>
      <c r="AB9" t="s">
        <v>74</v>
      </c>
      <c r="AC9" t="s">
        <v>74</v>
      </c>
      <c r="AD9" t="s">
        <v>74</v>
      </c>
      <c r="AE9" t="s">
        <v>74</v>
      </c>
      <c r="AF9" t="s">
        <v>74</v>
      </c>
      <c r="AG9">
        <v>21</v>
      </c>
      <c r="AH9">
        <v>5</v>
      </c>
      <c r="AI9">
        <v>6</v>
      </c>
      <c r="AJ9">
        <v>0</v>
      </c>
      <c r="AK9">
        <v>1</v>
      </c>
      <c r="AL9" t="s">
        <v>198</v>
      </c>
      <c r="AM9" t="s">
        <v>178</v>
      </c>
      <c r="AN9" t="s">
        <v>179</v>
      </c>
      <c r="AO9" t="s">
        <v>180</v>
      </c>
      <c r="AP9" t="s">
        <v>181</v>
      </c>
      <c r="AQ9" t="s">
        <v>74</v>
      </c>
      <c r="AR9" t="s">
        <v>182</v>
      </c>
      <c r="AS9" t="s">
        <v>183</v>
      </c>
      <c r="AT9" t="s">
        <v>93</v>
      </c>
      <c r="AU9">
        <v>2004</v>
      </c>
      <c r="AV9">
        <v>130</v>
      </c>
      <c r="AW9">
        <v>598</v>
      </c>
      <c r="AX9" t="s">
        <v>184</v>
      </c>
      <c r="AY9" t="s">
        <v>74</v>
      </c>
      <c r="AZ9" t="s">
        <v>74</v>
      </c>
      <c r="BA9" t="s">
        <v>74</v>
      </c>
      <c r="BB9">
        <v>1123</v>
      </c>
      <c r="BC9">
        <v>1135</v>
      </c>
      <c r="BD9" t="s">
        <v>74</v>
      </c>
      <c r="BE9" t="s">
        <v>199</v>
      </c>
      <c r="BF9" t="str">
        <f>HYPERLINK("http://dx.doi.org/10.1256/qj.03.70","http://dx.doi.org/10.1256/qj.03.70")</f>
        <v>http://dx.doi.org/10.1256/qj.03.70</v>
      </c>
      <c r="BG9" t="s">
        <v>74</v>
      </c>
      <c r="BH9" t="s">
        <v>74</v>
      </c>
      <c r="BI9">
        <v>13</v>
      </c>
      <c r="BJ9" t="s">
        <v>186</v>
      </c>
      <c r="BK9" t="s">
        <v>96</v>
      </c>
      <c r="BL9" t="s">
        <v>186</v>
      </c>
      <c r="BM9" t="s">
        <v>187</v>
      </c>
      <c r="BN9" t="s">
        <v>74</v>
      </c>
      <c r="BO9" t="s">
        <v>74</v>
      </c>
      <c r="BP9" t="s">
        <v>74</v>
      </c>
      <c r="BQ9" t="s">
        <v>74</v>
      </c>
      <c r="BR9" t="s">
        <v>99</v>
      </c>
      <c r="BS9" t="s">
        <v>200</v>
      </c>
      <c r="BT9" t="str">
        <f>HYPERLINK("https%3A%2F%2Fwww.webofscience.com%2Fwos%2Fwoscc%2Ffull-record%2FWOS:000221292200018","View Full Record in Web of Science")</f>
        <v>View Full Record in Web of Science</v>
      </c>
    </row>
    <row r="10" spans="1:72" x14ac:dyDescent="0.15">
      <c r="A10" t="s">
        <v>72</v>
      </c>
      <c r="B10" t="s">
        <v>201</v>
      </c>
      <c r="C10" t="s">
        <v>74</v>
      </c>
      <c r="D10" t="s">
        <v>74</v>
      </c>
      <c r="E10" t="s">
        <v>74</v>
      </c>
      <c r="F10" t="s">
        <v>201</v>
      </c>
      <c r="G10" t="s">
        <v>74</v>
      </c>
      <c r="H10" t="s">
        <v>74</v>
      </c>
      <c r="I10" t="s">
        <v>202</v>
      </c>
      <c r="J10" t="s">
        <v>203</v>
      </c>
      <c r="K10" t="s">
        <v>74</v>
      </c>
      <c r="L10" t="s">
        <v>74</v>
      </c>
      <c r="M10" t="s">
        <v>77</v>
      </c>
      <c r="N10" t="s">
        <v>78</v>
      </c>
      <c r="O10" t="s">
        <v>74</v>
      </c>
      <c r="P10" t="s">
        <v>74</v>
      </c>
      <c r="Q10" t="s">
        <v>74</v>
      </c>
      <c r="R10" t="s">
        <v>74</v>
      </c>
      <c r="S10" t="s">
        <v>74</v>
      </c>
      <c r="T10" t="s">
        <v>204</v>
      </c>
      <c r="U10" t="s">
        <v>205</v>
      </c>
      <c r="V10" t="s">
        <v>206</v>
      </c>
      <c r="W10" t="s">
        <v>207</v>
      </c>
      <c r="X10" t="s">
        <v>208</v>
      </c>
      <c r="Y10" t="s">
        <v>209</v>
      </c>
      <c r="Z10" t="s">
        <v>210</v>
      </c>
      <c r="AA10" t="s">
        <v>211</v>
      </c>
      <c r="AB10" t="s">
        <v>212</v>
      </c>
      <c r="AC10" t="s">
        <v>74</v>
      </c>
      <c r="AD10" t="s">
        <v>74</v>
      </c>
      <c r="AE10" t="s">
        <v>74</v>
      </c>
      <c r="AF10" t="s">
        <v>74</v>
      </c>
      <c r="AG10">
        <v>24</v>
      </c>
      <c r="AH10">
        <v>28</v>
      </c>
      <c r="AI10">
        <v>33</v>
      </c>
      <c r="AJ10">
        <v>0</v>
      </c>
      <c r="AK10">
        <v>4</v>
      </c>
      <c r="AL10" t="s">
        <v>213</v>
      </c>
      <c r="AM10" t="s">
        <v>214</v>
      </c>
      <c r="AN10" t="s">
        <v>215</v>
      </c>
      <c r="AO10" t="s">
        <v>216</v>
      </c>
      <c r="AP10" t="s">
        <v>74</v>
      </c>
      <c r="AQ10" t="s">
        <v>74</v>
      </c>
      <c r="AR10" t="s">
        <v>217</v>
      </c>
      <c r="AS10" t="s">
        <v>218</v>
      </c>
      <c r="AT10" t="s">
        <v>93</v>
      </c>
      <c r="AU10">
        <v>2004</v>
      </c>
      <c r="AV10">
        <v>60</v>
      </c>
      <c r="AW10">
        <v>5</v>
      </c>
      <c r="AX10" t="s">
        <v>74</v>
      </c>
      <c r="AY10" t="s">
        <v>74</v>
      </c>
      <c r="AZ10" t="s">
        <v>74</v>
      </c>
      <c r="BA10" t="s">
        <v>74</v>
      </c>
      <c r="BB10">
        <v>1229</v>
      </c>
      <c r="BC10">
        <v>1237</v>
      </c>
      <c r="BD10" t="s">
        <v>74</v>
      </c>
      <c r="BE10" t="s">
        <v>219</v>
      </c>
      <c r="BF10" t="str">
        <f>HYPERLINK("http://dx.doi.org/10.1016/j.saa.2003.08.005","http://dx.doi.org/10.1016/j.saa.2003.08.005")</f>
        <v>http://dx.doi.org/10.1016/j.saa.2003.08.005</v>
      </c>
      <c r="BG10" t="s">
        <v>74</v>
      </c>
      <c r="BH10" t="s">
        <v>74</v>
      </c>
      <c r="BI10">
        <v>9</v>
      </c>
      <c r="BJ10" t="s">
        <v>220</v>
      </c>
      <c r="BK10" t="s">
        <v>96</v>
      </c>
      <c r="BL10" t="s">
        <v>220</v>
      </c>
      <c r="BM10" t="s">
        <v>221</v>
      </c>
      <c r="BN10">
        <v>15084342</v>
      </c>
      <c r="BO10" t="s">
        <v>74</v>
      </c>
      <c r="BP10" t="s">
        <v>74</v>
      </c>
      <c r="BQ10" t="s">
        <v>74</v>
      </c>
      <c r="BR10" t="s">
        <v>99</v>
      </c>
      <c r="BS10" t="s">
        <v>222</v>
      </c>
      <c r="BT10" t="str">
        <f>HYPERLINK("https%3A%2F%2Fwww.webofscience.com%2Fwos%2Fwoscc%2Ffull-record%2FWOS:000221206300027","View Full Record in Web of Science")</f>
        <v>View Full Record in Web of Science</v>
      </c>
    </row>
    <row r="11" spans="1:72" x14ac:dyDescent="0.15">
      <c r="A11" t="s">
        <v>72</v>
      </c>
      <c r="B11" t="s">
        <v>223</v>
      </c>
      <c r="C11" t="s">
        <v>74</v>
      </c>
      <c r="D11" t="s">
        <v>74</v>
      </c>
      <c r="E11" t="s">
        <v>74</v>
      </c>
      <c r="F11" t="s">
        <v>223</v>
      </c>
      <c r="G11" t="s">
        <v>74</v>
      </c>
      <c r="H11" t="s">
        <v>74</v>
      </c>
      <c r="I11" t="s">
        <v>224</v>
      </c>
      <c r="J11" t="s">
        <v>225</v>
      </c>
      <c r="K11" t="s">
        <v>74</v>
      </c>
      <c r="L11" t="s">
        <v>74</v>
      </c>
      <c r="M11" t="s">
        <v>77</v>
      </c>
      <c r="N11" t="s">
        <v>78</v>
      </c>
      <c r="O11" t="s">
        <v>74</v>
      </c>
      <c r="P11" t="s">
        <v>74</v>
      </c>
      <c r="Q11" t="s">
        <v>74</v>
      </c>
      <c r="R11" t="s">
        <v>74</v>
      </c>
      <c r="S11" t="s">
        <v>74</v>
      </c>
      <c r="T11" t="s">
        <v>226</v>
      </c>
      <c r="U11" t="s">
        <v>227</v>
      </c>
      <c r="V11" t="s">
        <v>228</v>
      </c>
      <c r="W11" t="s">
        <v>229</v>
      </c>
      <c r="X11" t="s">
        <v>230</v>
      </c>
      <c r="Y11" t="s">
        <v>231</v>
      </c>
      <c r="Z11" t="s">
        <v>232</v>
      </c>
      <c r="AA11" t="s">
        <v>233</v>
      </c>
      <c r="AB11" t="s">
        <v>234</v>
      </c>
      <c r="AC11" t="s">
        <v>74</v>
      </c>
      <c r="AD11" t="s">
        <v>74</v>
      </c>
      <c r="AE11" t="s">
        <v>74</v>
      </c>
      <c r="AF11" t="s">
        <v>74</v>
      </c>
      <c r="AG11">
        <v>25</v>
      </c>
      <c r="AH11">
        <v>26</v>
      </c>
      <c r="AI11">
        <v>28</v>
      </c>
      <c r="AJ11">
        <v>0</v>
      </c>
      <c r="AK11">
        <v>6</v>
      </c>
      <c r="AL11" t="s">
        <v>235</v>
      </c>
      <c r="AM11" t="s">
        <v>87</v>
      </c>
      <c r="AN11" t="s">
        <v>236</v>
      </c>
      <c r="AO11" t="s">
        <v>237</v>
      </c>
      <c r="AP11" t="s">
        <v>238</v>
      </c>
      <c r="AQ11" t="s">
        <v>74</v>
      </c>
      <c r="AR11" t="s">
        <v>225</v>
      </c>
      <c r="AS11" t="s">
        <v>239</v>
      </c>
      <c r="AT11" t="s">
        <v>93</v>
      </c>
      <c r="AU11">
        <v>2004</v>
      </c>
      <c r="AV11">
        <v>69</v>
      </c>
      <c r="AW11">
        <v>4</v>
      </c>
      <c r="AX11" t="s">
        <v>74</v>
      </c>
      <c r="AY11" t="s">
        <v>74</v>
      </c>
      <c r="AZ11" t="s">
        <v>74</v>
      </c>
      <c r="BA11" t="s">
        <v>74</v>
      </c>
      <c r="BB11">
        <v>291</v>
      </c>
      <c r="BC11">
        <v>299</v>
      </c>
      <c r="BD11" t="s">
        <v>74</v>
      </c>
      <c r="BE11" t="s">
        <v>240</v>
      </c>
      <c r="BF11" t="str">
        <f>HYPERLINK("http://dx.doi.org/10.1016/j.steroids.2004.02.005","http://dx.doi.org/10.1016/j.steroids.2004.02.005")</f>
        <v>http://dx.doi.org/10.1016/j.steroids.2004.02.005</v>
      </c>
      <c r="BG11" t="s">
        <v>74</v>
      </c>
      <c r="BH11" t="s">
        <v>74</v>
      </c>
      <c r="BI11">
        <v>9</v>
      </c>
      <c r="BJ11" t="s">
        <v>241</v>
      </c>
      <c r="BK11" t="s">
        <v>242</v>
      </c>
      <c r="BL11" t="s">
        <v>241</v>
      </c>
      <c r="BM11" t="s">
        <v>243</v>
      </c>
      <c r="BN11">
        <v>15183695</v>
      </c>
      <c r="BO11" t="s">
        <v>74</v>
      </c>
      <c r="BP11" t="s">
        <v>74</v>
      </c>
      <c r="BQ11" t="s">
        <v>74</v>
      </c>
      <c r="BR11" t="s">
        <v>99</v>
      </c>
      <c r="BS11" t="s">
        <v>244</v>
      </c>
      <c r="BT11" t="str">
        <f>HYPERLINK("https%3A%2F%2Fwww.webofscience.com%2Fwos%2Fwoscc%2Ffull-record%2FWOS:000222253300009","View Full Record in Web of Science")</f>
        <v>View Full Record in Web of Science</v>
      </c>
    </row>
    <row r="12" spans="1:72" x14ac:dyDescent="0.15">
      <c r="A12" t="s">
        <v>72</v>
      </c>
      <c r="B12" t="s">
        <v>245</v>
      </c>
      <c r="C12" t="s">
        <v>74</v>
      </c>
      <c r="D12" t="s">
        <v>74</v>
      </c>
      <c r="E12" t="s">
        <v>74</v>
      </c>
      <c r="F12" t="s">
        <v>245</v>
      </c>
      <c r="G12" t="s">
        <v>74</v>
      </c>
      <c r="H12" t="s">
        <v>74</v>
      </c>
      <c r="I12" t="s">
        <v>246</v>
      </c>
      <c r="J12" t="s">
        <v>247</v>
      </c>
      <c r="K12" t="s">
        <v>74</v>
      </c>
      <c r="L12" t="s">
        <v>74</v>
      </c>
      <c r="M12" t="s">
        <v>77</v>
      </c>
      <c r="N12" t="s">
        <v>78</v>
      </c>
      <c r="O12" t="s">
        <v>74</v>
      </c>
      <c r="P12" t="s">
        <v>74</v>
      </c>
      <c r="Q12" t="s">
        <v>74</v>
      </c>
      <c r="R12" t="s">
        <v>74</v>
      </c>
      <c r="S12" t="s">
        <v>74</v>
      </c>
      <c r="T12" t="s">
        <v>248</v>
      </c>
      <c r="U12" t="s">
        <v>249</v>
      </c>
      <c r="V12" t="s">
        <v>250</v>
      </c>
      <c r="W12" t="s">
        <v>251</v>
      </c>
      <c r="X12" t="s">
        <v>252</v>
      </c>
      <c r="Y12" t="s">
        <v>253</v>
      </c>
      <c r="Z12" t="s">
        <v>254</v>
      </c>
      <c r="AA12" t="s">
        <v>255</v>
      </c>
      <c r="AB12" t="s">
        <v>256</v>
      </c>
      <c r="AC12" t="s">
        <v>74</v>
      </c>
      <c r="AD12" t="s">
        <v>74</v>
      </c>
      <c r="AE12" t="s">
        <v>74</v>
      </c>
      <c r="AF12" t="s">
        <v>74</v>
      </c>
      <c r="AG12">
        <v>17</v>
      </c>
      <c r="AH12">
        <v>3</v>
      </c>
      <c r="AI12">
        <v>5</v>
      </c>
      <c r="AJ12">
        <v>0</v>
      </c>
      <c r="AK12">
        <v>4</v>
      </c>
      <c r="AL12" t="s">
        <v>86</v>
      </c>
      <c r="AM12" t="s">
        <v>87</v>
      </c>
      <c r="AN12" t="s">
        <v>88</v>
      </c>
      <c r="AO12" t="s">
        <v>257</v>
      </c>
      <c r="AP12" t="s">
        <v>258</v>
      </c>
      <c r="AQ12" t="s">
        <v>74</v>
      </c>
      <c r="AR12" t="s">
        <v>259</v>
      </c>
      <c r="AS12" t="s">
        <v>260</v>
      </c>
      <c r="AT12" t="s">
        <v>93</v>
      </c>
      <c r="AU12">
        <v>2004</v>
      </c>
      <c r="AV12">
        <v>48</v>
      </c>
      <c r="AW12">
        <v>2</v>
      </c>
      <c r="AX12" t="s">
        <v>74</v>
      </c>
      <c r="AY12" t="s">
        <v>74</v>
      </c>
      <c r="AZ12" t="s">
        <v>74</v>
      </c>
      <c r="BA12" t="s">
        <v>74</v>
      </c>
      <c r="BB12">
        <v>459</v>
      </c>
      <c r="BC12">
        <v>468</v>
      </c>
      <c r="BD12" t="s">
        <v>74</v>
      </c>
      <c r="BE12" t="s">
        <v>261</v>
      </c>
      <c r="BF12" t="str">
        <f>HYPERLINK("http://dx.doi.org/10.1023/B:SGEG.0000020841.53546.39","http://dx.doi.org/10.1023/B:SGEG.0000020841.53546.39")</f>
        <v>http://dx.doi.org/10.1023/B:SGEG.0000020841.53546.39</v>
      </c>
      <c r="BG12" t="s">
        <v>74</v>
      </c>
      <c r="BH12" t="s">
        <v>74</v>
      </c>
      <c r="BI12">
        <v>10</v>
      </c>
      <c r="BJ12" t="s">
        <v>262</v>
      </c>
      <c r="BK12" t="s">
        <v>96</v>
      </c>
      <c r="BL12" t="s">
        <v>262</v>
      </c>
      <c r="BM12" t="s">
        <v>263</v>
      </c>
      <c r="BN12" t="s">
        <v>74</v>
      </c>
      <c r="BO12" t="s">
        <v>74</v>
      </c>
      <c r="BP12" t="s">
        <v>74</v>
      </c>
      <c r="BQ12" t="s">
        <v>74</v>
      </c>
      <c r="BR12" t="s">
        <v>99</v>
      </c>
      <c r="BS12" t="s">
        <v>264</v>
      </c>
      <c r="BT12" t="str">
        <f>HYPERLINK("https%3A%2F%2Fwww.webofscience.com%2Fwos%2Fwoscc%2Ffull-record%2FWOS:000220406500008","View Full Record in Web of Science")</f>
        <v>View Full Record in Web of Science</v>
      </c>
    </row>
    <row r="13" spans="1:72" x14ac:dyDescent="0.15">
      <c r="A13" t="s">
        <v>72</v>
      </c>
      <c r="B13" t="s">
        <v>265</v>
      </c>
      <c r="C13" t="s">
        <v>74</v>
      </c>
      <c r="D13" t="s">
        <v>74</v>
      </c>
      <c r="E13" t="s">
        <v>74</v>
      </c>
      <c r="F13" t="s">
        <v>265</v>
      </c>
      <c r="G13" t="s">
        <v>74</v>
      </c>
      <c r="H13" t="s">
        <v>74</v>
      </c>
      <c r="I13" t="s">
        <v>266</v>
      </c>
      <c r="J13" t="s">
        <v>267</v>
      </c>
      <c r="K13" t="s">
        <v>74</v>
      </c>
      <c r="L13" t="s">
        <v>74</v>
      </c>
      <c r="M13" t="s">
        <v>77</v>
      </c>
      <c r="N13" t="s">
        <v>268</v>
      </c>
      <c r="O13" t="s">
        <v>74</v>
      </c>
      <c r="P13" t="s">
        <v>74</v>
      </c>
      <c r="Q13" t="s">
        <v>74</v>
      </c>
      <c r="R13" t="s">
        <v>74</v>
      </c>
      <c r="S13" t="s">
        <v>74</v>
      </c>
      <c r="T13" t="s">
        <v>269</v>
      </c>
      <c r="U13" t="s">
        <v>270</v>
      </c>
      <c r="V13" t="s">
        <v>271</v>
      </c>
      <c r="W13" t="s">
        <v>272</v>
      </c>
      <c r="X13" t="s">
        <v>74</v>
      </c>
      <c r="Y13" t="s">
        <v>273</v>
      </c>
      <c r="Z13" t="s">
        <v>274</v>
      </c>
      <c r="AA13" t="s">
        <v>275</v>
      </c>
      <c r="AB13" t="s">
        <v>276</v>
      </c>
      <c r="AC13" t="s">
        <v>74</v>
      </c>
      <c r="AD13" t="s">
        <v>74</v>
      </c>
      <c r="AE13" t="s">
        <v>74</v>
      </c>
      <c r="AF13" t="s">
        <v>74</v>
      </c>
      <c r="AG13">
        <v>121</v>
      </c>
      <c r="AH13">
        <v>760</v>
      </c>
      <c r="AI13">
        <v>841</v>
      </c>
      <c r="AJ13">
        <v>4</v>
      </c>
      <c r="AK13">
        <v>158</v>
      </c>
      <c r="AL13" t="s">
        <v>277</v>
      </c>
      <c r="AM13" t="s">
        <v>214</v>
      </c>
      <c r="AN13" t="s">
        <v>278</v>
      </c>
      <c r="AO13" t="s">
        <v>279</v>
      </c>
      <c r="AP13" t="s">
        <v>280</v>
      </c>
      <c r="AQ13" t="s">
        <v>74</v>
      </c>
      <c r="AR13" t="s">
        <v>281</v>
      </c>
      <c r="AS13" t="s">
        <v>282</v>
      </c>
      <c r="AT13" t="s">
        <v>93</v>
      </c>
      <c r="AU13">
        <v>2004</v>
      </c>
      <c r="AV13">
        <v>53</v>
      </c>
      <c r="AW13">
        <v>2</v>
      </c>
      <c r="AX13" t="s">
        <v>74</v>
      </c>
      <c r="AY13" t="s">
        <v>74</v>
      </c>
      <c r="AZ13" t="s">
        <v>74</v>
      </c>
      <c r="BA13" t="s">
        <v>74</v>
      </c>
      <c r="BB13">
        <v>216</v>
      </c>
      <c r="BC13">
        <v>243</v>
      </c>
      <c r="BD13" t="s">
        <v>74</v>
      </c>
      <c r="BE13" t="s">
        <v>283</v>
      </c>
      <c r="BF13" t="str">
        <f>HYPERLINK("http://dx.doi.org/10.1080/10635150490423430","http://dx.doi.org/10.1080/10635150490423430")</f>
        <v>http://dx.doi.org/10.1080/10635150490423430</v>
      </c>
      <c r="BG13" t="s">
        <v>74</v>
      </c>
      <c r="BH13" t="s">
        <v>74</v>
      </c>
      <c r="BI13">
        <v>28</v>
      </c>
      <c r="BJ13" t="s">
        <v>284</v>
      </c>
      <c r="BK13" t="s">
        <v>96</v>
      </c>
      <c r="BL13" t="s">
        <v>284</v>
      </c>
      <c r="BM13" t="s">
        <v>285</v>
      </c>
      <c r="BN13">
        <v>15205050</v>
      </c>
      <c r="BO13" t="s">
        <v>286</v>
      </c>
      <c r="BP13" t="s">
        <v>74</v>
      </c>
      <c r="BQ13" t="s">
        <v>74</v>
      </c>
      <c r="BR13" t="s">
        <v>99</v>
      </c>
      <c r="BS13" t="s">
        <v>287</v>
      </c>
      <c r="BT13" t="str">
        <f>HYPERLINK("https%3A%2F%2Fwww.webofscience.com%2Fwos%2Fwoscc%2Ffull-record%2FWOS:000220800500003","View Full Record in Web of Science")</f>
        <v>View Full Record in Web of Science</v>
      </c>
    </row>
    <row r="14" spans="1:72" x14ac:dyDescent="0.15">
      <c r="A14" t="s">
        <v>72</v>
      </c>
      <c r="B14" t="s">
        <v>288</v>
      </c>
      <c r="C14" t="s">
        <v>74</v>
      </c>
      <c r="D14" t="s">
        <v>74</v>
      </c>
      <c r="E14" t="s">
        <v>74</v>
      </c>
      <c r="F14" t="s">
        <v>288</v>
      </c>
      <c r="G14" t="s">
        <v>74</v>
      </c>
      <c r="H14" t="s">
        <v>74</v>
      </c>
      <c r="I14" t="s">
        <v>289</v>
      </c>
      <c r="J14" t="s">
        <v>290</v>
      </c>
      <c r="K14" t="s">
        <v>74</v>
      </c>
      <c r="L14" t="s">
        <v>74</v>
      </c>
      <c r="M14" t="s">
        <v>77</v>
      </c>
      <c r="N14" t="s">
        <v>78</v>
      </c>
      <c r="O14" t="s">
        <v>74</v>
      </c>
      <c r="P14" t="s">
        <v>74</v>
      </c>
      <c r="Q14" t="s">
        <v>74</v>
      </c>
      <c r="R14" t="s">
        <v>74</v>
      </c>
      <c r="S14" t="s">
        <v>74</v>
      </c>
      <c r="T14" t="s">
        <v>74</v>
      </c>
      <c r="U14" t="s">
        <v>291</v>
      </c>
      <c r="V14" t="s">
        <v>292</v>
      </c>
      <c r="W14" t="s">
        <v>293</v>
      </c>
      <c r="X14" t="s">
        <v>294</v>
      </c>
      <c r="Y14" t="s">
        <v>295</v>
      </c>
      <c r="Z14" t="s">
        <v>296</v>
      </c>
      <c r="AA14" t="s">
        <v>74</v>
      </c>
      <c r="AB14" t="s">
        <v>74</v>
      </c>
      <c r="AC14" t="s">
        <v>74</v>
      </c>
      <c r="AD14" t="s">
        <v>74</v>
      </c>
      <c r="AE14" t="s">
        <v>74</v>
      </c>
      <c r="AF14" t="s">
        <v>74</v>
      </c>
      <c r="AG14">
        <v>12</v>
      </c>
      <c r="AH14">
        <v>3</v>
      </c>
      <c r="AI14">
        <v>3</v>
      </c>
      <c r="AJ14">
        <v>0</v>
      </c>
      <c r="AK14">
        <v>2</v>
      </c>
      <c r="AL14" t="s">
        <v>297</v>
      </c>
      <c r="AM14" t="s">
        <v>298</v>
      </c>
      <c r="AN14" t="s">
        <v>299</v>
      </c>
      <c r="AO14" t="s">
        <v>300</v>
      </c>
      <c r="AP14" t="s">
        <v>301</v>
      </c>
      <c r="AQ14" t="s">
        <v>74</v>
      </c>
      <c r="AR14" t="s">
        <v>302</v>
      </c>
      <c r="AS14" t="s">
        <v>303</v>
      </c>
      <c r="AT14" t="s">
        <v>93</v>
      </c>
      <c r="AU14">
        <v>2004</v>
      </c>
      <c r="AV14">
        <v>19</v>
      </c>
      <c r="AW14">
        <v>2</v>
      </c>
      <c r="AX14" t="s">
        <v>74</v>
      </c>
      <c r="AY14" t="s">
        <v>74</v>
      </c>
      <c r="AZ14" t="s">
        <v>74</v>
      </c>
      <c r="BA14" t="s">
        <v>74</v>
      </c>
      <c r="BB14">
        <v>456</v>
      </c>
      <c r="BC14">
        <v>472</v>
      </c>
      <c r="BD14" t="s">
        <v>74</v>
      </c>
      <c r="BE14" t="s">
        <v>304</v>
      </c>
      <c r="BF14" t="str">
        <f>HYPERLINK("http://dx.doi.org/10.1175/1520-0434(2004)019&lt;0456:PFAHL&gt;2.0.CO;2","http://dx.doi.org/10.1175/1520-0434(2004)019&lt;0456:PFAHL&gt;2.0.CO;2")</f>
        <v>http://dx.doi.org/10.1175/1520-0434(2004)019&lt;0456:PFAHL&gt;2.0.CO;2</v>
      </c>
      <c r="BG14" t="s">
        <v>74</v>
      </c>
      <c r="BH14" t="s">
        <v>74</v>
      </c>
      <c r="BI14">
        <v>17</v>
      </c>
      <c r="BJ14" t="s">
        <v>186</v>
      </c>
      <c r="BK14" t="s">
        <v>96</v>
      </c>
      <c r="BL14" t="s">
        <v>186</v>
      </c>
      <c r="BM14" t="s">
        <v>305</v>
      </c>
      <c r="BN14" t="s">
        <v>74</v>
      </c>
      <c r="BO14" t="s">
        <v>306</v>
      </c>
      <c r="BP14" t="s">
        <v>74</v>
      </c>
      <c r="BQ14" t="s">
        <v>74</v>
      </c>
      <c r="BR14" t="s">
        <v>99</v>
      </c>
      <c r="BS14" t="s">
        <v>307</v>
      </c>
      <c r="BT14" t="str">
        <f>HYPERLINK("https%3A%2F%2Fwww.webofscience.com%2Fwos%2Fwoscc%2Ffull-record%2FWOS:000220480500019","View Full Record in Web of Science")</f>
        <v>View Full Record in Web of Science</v>
      </c>
    </row>
    <row r="15" spans="1:72" x14ac:dyDescent="0.15">
      <c r="A15" t="s">
        <v>72</v>
      </c>
      <c r="B15" t="s">
        <v>308</v>
      </c>
      <c r="C15" t="s">
        <v>74</v>
      </c>
      <c r="D15" t="s">
        <v>74</v>
      </c>
      <c r="E15" t="s">
        <v>74</v>
      </c>
      <c r="F15" t="s">
        <v>308</v>
      </c>
      <c r="G15" t="s">
        <v>74</v>
      </c>
      <c r="H15" t="s">
        <v>74</v>
      </c>
      <c r="I15" t="s">
        <v>309</v>
      </c>
      <c r="J15" t="s">
        <v>310</v>
      </c>
      <c r="K15" t="s">
        <v>74</v>
      </c>
      <c r="L15" t="s">
        <v>74</v>
      </c>
      <c r="M15" t="s">
        <v>77</v>
      </c>
      <c r="N15" t="s">
        <v>311</v>
      </c>
      <c r="O15" t="s">
        <v>312</v>
      </c>
      <c r="P15" t="s">
        <v>313</v>
      </c>
      <c r="Q15" t="s">
        <v>314</v>
      </c>
      <c r="R15" t="s">
        <v>74</v>
      </c>
      <c r="S15" t="s">
        <v>315</v>
      </c>
      <c r="T15" t="s">
        <v>316</v>
      </c>
      <c r="U15" t="s">
        <v>317</v>
      </c>
      <c r="V15" t="s">
        <v>318</v>
      </c>
      <c r="W15" t="s">
        <v>319</v>
      </c>
      <c r="X15" t="s">
        <v>320</v>
      </c>
      <c r="Y15" t="s">
        <v>321</v>
      </c>
      <c r="Z15" t="s">
        <v>322</v>
      </c>
      <c r="AA15" t="s">
        <v>74</v>
      </c>
      <c r="AB15" t="s">
        <v>323</v>
      </c>
      <c r="AC15" t="s">
        <v>74</v>
      </c>
      <c r="AD15" t="s">
        <v>74</v>
      </c>
      <c r="AE15" t="s">
        <v>74</v>
      </c>
      <c r="AF15" t="s">
        <v>74</v>
      </c>
      <c r="AG15">
        <v>102</v>
      </c>
      <c r="AH15">
        <v>32</v>
      </c>
      <c r="AI15">
        <v>36</v>
      </c>
      <c r="AJ15">
        <v>0</v>
      </c>
      <c r="AK15">
        <v>8</v>
      </c>
      <c r="AL15" t="s">
        <v>324</v>
      </c>
      <c r="AM15" t="s">
        <v>325</v>
      </c>
      <c r="AN15" t="s">
        <v>326</v>
      </c>
      <c r="AO15" t="s">
        <v>327</v>
      </c>
      <c r="AP15" t="s">
        <v>328</v>
      </c>
      <c r="AQ15" t="s">
        <v>74</v>
      </c>
      <c r="AR15" t="s">
        <v>329</v>
      </c>
      <c r="AS15" t="s">
        <v>330</v>
      </c>
      <c r="AT15" t="s">
        <v>93</v>
      </c>
      <c r="AU15">
        <v>2004</v>
      </c>
      <c r="AV15">
        <v>43</v>
      </c>
      <c r="AW15">
        <v>2</v>
      </c>
      <c r="AX15" t="s">
        <v>74</v>
      </c>
      <c r="AY15" t="s">
        <v>74</v>
      </c>
      <c r="AZ15" t="s">
        <v>74</v>
      </c>
      <c r="BA15" t="s">
        <v>74</v>
      </c>
      <c r="BB15">
        <v>276</v>
      </c>
      <c r="BC15">
        <v>291</v>
      </c>
      <c r="BD15" t="s">
        <v>74</v>
      </c>
      <c r="BE15" t="s">
        <v>74</v>
      </c>
      <c r="BF15" t="s">
        <v>74</v>
      </c>
      <c r="BG15" t="s">
        <v>74</v>
      </c>
      <c r="BH15" t="s">
        <v>74</v>
      </c>
      <c r="BI15">
        <v>16</v>
      </c>
      <c r="BJ15" t="s">
        <v>331</v>
      </c>
      <c r="BK15" t="s">
        <v>332</v>
      </c>
      <c r="BL15" t="s">
        <v>331</v>
      </c>
      <c r="BM15" t="s">
        <v>333</v>
      </c>
      <c r="BN15" t="s">
        <v>74</v>
      </c>
      <c r="BO15" t="s">
        <v>74</v>
      </c>
      <c r="BP15" t="s">
        <v>74</v>
      </c>
      <c r="BQ15" t="s">
        <v>74</v>
      </c>
      <c r="BR15" t="s">
        <v>99</v>
      </c>
      <c r="BS15" t="s">
        <v>334</v>
      </c>
      <c r="BT15" t="str">
        <f>HYPERLINK("https%3A%2F%2Fwww.webofscience.com%2Fwos%2Fwoscc%2Ffull-record%2FWOS:000222853500014","View Full Record in Web of Science")</f>
        <v>View Full Record in Web of Science</v>
      </c>
    </row>
    <row r="16" spans="1:72" x14ac:dyDescent="0.15">
      <c r="A16" t="s">
        <v>72</v>
      </c>
      <c r="B16" t="s">
        <v>335</v>
      </c>
      <c r="C16" t="s">
        <v>74</v>
      </c>
      <c r="D16" t="s">
        <v>74</v>
      </c>
      <c r="E16" t="s">
        <v>74</v>
      </c>
      <c r="F16" t="s">
        <v>335</v>
      </c>
      <c r="G16" t="s">
        <v>74</v>
      </c>
      <c r="H16" t="s">
        <v>74</v>
      </c>
      <c r="I16" t="s">
        <v>336</v>
      </c>
      <c r="J16" t="s">
        <v>337</v>
      </c>
      <c r="K16" t="s">
        <v>74</v>
      </c>
      <c r="L16" t="s">
        <v>74</v>
      </c>
      <c r="M16" t="s">
        <v>338</v>
      </c>
      <c r="N16" t="s">
        <v>78</v>
      </c>
      <c r="O16" t="s">
        <v>74</v>
      </c>
      <c r="P16" t="s">
        <v>74</v>
      </c>
      <c r="Q16" t="s">
        <v>74</v>
      </c>
      <c r="R16" t="s">
        <v>74</v>
      </c>
      <c r="S16" t="s">
        <v>74</v>
      </c>
      <c r="T16" t="s">
        <v>74</v>
      </c>
      <c r="U16" t="s">
        <v>74</v>
      </c>
      <c r="V16" t="s">
        <v>339</v>
      </c>
      <c r="W16" t="s">
        <v>340</v>
      </c>
      <c r="X16" t="s">
        <v>341</v>
      </c>
      <c r="Y16" t="s">
        <v>342</v>
      </c>
      <c r="Z16" t="s">
        <v>343</v>
      </c>
      <c r="AA16" t="s">
        <v>344</v>
      </c>
      <c r="AB16" t="s">
        <v>345</v>
      </c>
      <c r="AC16" t="s">
        <v>74</v>
      </c>
      <c r="AD16" t="s">
        <v>74</v>
      </c>
      <c r="AE16" t="s">
        <v>74</v>
      </c>
      <c r="AF16" t="s">
        <v>74</v>
      </c>
      <c r="AG16">
        <v>23</v>
      </c>
      <c r="AH16">
        <v>8</v>
      </c>
      <c r="AI16">
        <v>9</v>
      </c>
      <c r="AJ16">
        <v>0</v>
      </c>
      <c r="AK16">
        <v>5</v>
      </c>
      <c r="AL16" t="s">
        <v>346</v>
      </c>
      <c r="AM16" t="s">
        <v>347</v>
      </c>
      <c r="AN16" t="s">
        <v>348</v>
      </c>
      <c r="AO16" t="s">
        <v>349</v>
      </c>
      <c r="AP16" t="s">
        <v>74</v>
      </c>
      <c r="AQ16" t="s">
        <v>74</v>
      </c>
      <c r="AR16" t="s">
        <v>350</v>
      </c>
      <c r="AS16" t="s">
        <v>351</v>
      </c>
      <c r="AT16" t="s">
        <v>93</v>
      </c>
      <c r="AU16">
        <v>2004</v>
      </c>
      <c r="AV16">
        <v>83</v>
      </c>
      <c r="AW16">
        <v>4</v>
      </c>
      <c r="AX16" t="s">
        <v>74</v>
      </c>
      <c r="AY16" t="s">
        <v>74</v>
      </c>
      <c r="AZ16" t="s">
        <v>74</v>
      </c>
      <c r="BA16" t="s">
        <v>74</v>
      </c>
      <c r="BB16">
        <v>449</v>
      </c>
      <c r="BC16">
        <v>458</v>
      </c>
      <c r="BD16" t="s">
        <v>74</v>
      </c>
      <c r="BE16" t="s">
        <v>74</v>
      </c>
      <c r="BF16" t="s">
        <v>74</v>
      </c>
      <c r="BG16" t="s">
        <v>74</v>
      </c>
      <c r="BH16" t="s">
        <v>74</v>
      </c>
      <c r="BI16">
        <v>10</v>
      </c>
      <c r="BJ16" t="s">
        <v>331</v>
      </c>
      <c r="BK16" t="s">
        <v>96</v>
      </c>
      <c r="BL16" t="s">
        <v>331</v>
      </c>
      <c r="BM16" t="s">
        <v>352</v>
      </c>
      <c r="BN16" t="s">
        <v>74</v>
      </c>
      <c r="BO16" t="s">
        <v>74</v>
      </c>
      <c r="BP16" t="s">
        <v>74</v>
      </c>
      <c r="BQ16" t="s">
        <v>74</v>
      </c>
      <c r="BR16" t="s">
        <v>99</v>
      </c>
      <c r="BS16" t="s">
        <v>353</v>
      </c>
      <c r="BT16" t="str">
        <f>HYPERLINK("https%3A%2F%2Fwww.webofscience.com%2Fwos%2Fwoscc%2Ffull-record%2FWOS:000221531600008","View Full Record in Web of Science")</f>
        <v>View Full Record in Web of Science</v>
      </c>
    </row>
    <row r="17" spans="1:72" x14ac:dyDescent="0.15">
      <c r="A17" t="s">
        <v>72</v>
      </c>
      <c r="B17" t="s">
        <v>354</v>
      </c>
      <c r="C17" t="s">
        <v>74</v>
      </c>
      <c r="D17" t="s">
        <v>74</v>
      </c>
      <c r="E17" t="s">
        <v>74</v>
      </c>
      <c r="F17" t="s">
        <v>354</v>
      </c>
      <c r="G17" t="s">
        <v>74</v>
      </c>
      <c r="H17" t="s">
        <v>74</v>
      </c>
      <c r="I17" t="s">
        <v>355</v>
      </c>
      <c r="J17" t="s">
        <v>356</v>
      </c>
      <c r="K17" t="s">
        <v>74</v>
      </c>
      <c r="L17" t="s">
        <v>74</v>
      </c>
      <c r="M17" t="s">
        <v>77</v>
      </c>
      <c r="N17" t="s">
        <v>78</v>
      </c>
      <c r="O17" t="s">
        <v>74</v>
      </c>
      <c r="P17" t="s">
        <v>74</v>
      </c>
      <c r="Q17" t="s">
        <v>74</v>
      </c>
      <c r="R17" t="s">
        <v>74</v>
      </c>
      <c r="S17" t="s">
        <v>74</v>
      </c>
      <c r="T17" t="s">
        <v>357</v>
      </c>
      <c r="U17" t="s">
        <v>358</v>
      </c>
      <c r="V17" t="s">
        <v>359</v>
      </c>
      <c r="W17" t="s">
        <v>360</v>
      </c>
      <c r="X17" t="s">
        <v>361</v>
      </c>
      <c r="Y17" t="s">
        <v>362</v>
      </c>
      <c r="Z17" t="s">
        <v>74</v>
      </c>
      <c r="AA17" t="s">
        <v>74</v>
      </c>
      <c r="AB17" t="s">
        <v>74</v>
      </c>
      <c r="AC17" t="s">
        <v>74</v>
      </c>
      <c r="AD17" t="s">
        <v>74</v>
      </c>
      <c r="AE17" t="s">
        <v>74</v>
      </c>
      <c r="AF17" t="s">
        <v>74</v>
      </c>
      <c r="AG17">
        <v>41</v>
      </c>
      <c r="AH17">
        <v>143</v>
      </c>
      <c r="AI17">
        <v>152</v>
      </c>
      <c r="AJ17">
        <v>3</v>
      </c>
      <c r="AK17">
        <v>75</v>
      </c>
      <c r="AL17" t="s">
        <v>363</v>
      </c>
      <c r="AM17" t="s">
        <v>364</v>
      </c>
      <c r="AN17" t="s">
        <v>365</v>
      </c>
      <c r="AO17" t="s">
        <v>366</v>
      </c>
      <c r="AP17" t="s">
        <v>74</v>
      </c>
      <c r="AQ17" t="s">
        <v>74</v>
      </c>
      <c r="AR17" t="s">
        <v>367</v>
      </c>
      <c r="AS17" t="s">
        <v>368</v>
      </c>
      <c r="AT17" t="s">
        <v>369</v>
      </c>
      <c r="AU17">
        <v>2004</v>
      </c>
      <c r="AV17">
        <v>18</v>
      </c>
      <c r="AW17">
        <v>1</v>
      </c>
      <c r="AX17" t="s">
        <v>74</v>
      </c>
      <c r="AY17" t="s">
        <v>74</v>
      </c>
      <c r="AZ17" t="s">
        <v>74</v>
      </c>
      <c r="BA17" t="s">
        <v>74</v>
      </c>
      <c r="BB17" t="s">
        <v>74</v>
      </c>
      <c r="BC17" t="s">
        <v>74</v>
      </c>
      <c r="BD17" t="s">
        <v>370</v>
      </c>
      <c r="BE17" t="s">
        <v>371</v>
      </c>
      <c r="BF17" t="str">
        <f>HYPERLINK("http://dx.doi.org/10.1029/2003GB002140","http://dx.doi.org/10.1029/2003GB002140")</f>
        <v>http://dx.doi.org/10.1029/2003GB002140</v>
      </c>
      <c r="BG17" t="s">
        <v>74</v>
      </c>
      <c r="BH17" t="s">
        <v>74</v>
      </c>
      <c r="BI17">
        <v>8</v>
      </c>
      <c r="BJ17" t="s">
        <v>372</v>
      </c>
      <c r="BK17" t="s">
        <v>96</v>
      </c>
      <c r="BL17" t="s">
        <v>373</v>
      </c>
      <c r="BM17" t="s">
        <v>374</v>
      </c>
      <c r="BN17" t="s">
        <v>74</v>
      </c>
      <c r="BO17" t="s">
        <v>74</v>
      </c>
      <c r="BP17" t="s">
        <v>74</v>
      </c>
      <c r="BQ17" t="s">
        <v>74</v>
      </c>
      <c r="BR17" t="s">
        <v>99</v>
      </c>
      <c r="BS17" t="s">
        <v>375</v>
      </c>
      <c r="BT17" t="str">
        <f>HYPERLINK("https%3A%2F%2Fwww.webofscience.com%2Fwos%2Fwoscc%2Ffull-record%2FWOS:000220744200002","View Full Record in Web of Science")</f>
        <v>View Full Record in Web of Science</v>
      </c>
    </row>
    <row r="18" spans="1:72" x14ac:dyDescent="0.15">
      <c r="A18" t="s">
        <v>72</v>
      </c>
      <c r="B18" t="s">
        <v>376</v>
      </c>
      <c r="C18" t="s">
        <v>74</v>
      </c>
      <c r="D18" t="s">
        <v>74</v>
      </c>
      <c r="E18" t="s">
        <v>74</v>
      </c>
      <c r="F18" t="s">
        <v>376</v>
      </c>
      <c r="G18" t="s">
        <v>74</v>
      </c>
      <c r="H18" t="s">
        <v>74</v>
      </c>
      <c r="I18" t="s">
        <v>377</v>
      </c>
      <c r="J18" t="s">
        <v>378</v>
      </c>
      <c r="K18" t="s">
        <v>74</v>
      </c>
      <c r="L18" t="s">
        <v>74</v>
      </c>
      <c r="M18" t="s">
        <v>77</v>
      </c>
      <c r="N18" t="s">
        <v>78</v>
      </c>
      <c r="O18" t="s">
        <v>74</v>
      </c>
      <c r="P18" t="s">
        <v>74</v>
      </c>
      <c r="Q18" t="s">
        <v>74</v>
      </c>
      <c r="R18" t="s">
        <v>74</v>
      </c>
      <c r="S18" t="s">
        <v>74</v>
      </c>
      <c r="T18" t="s">
        <v>379</v>
      </c>
      <c r="U18" t="s">
        <v>380</v>
      </c>
      <c r="V18" t="s">
        <v>381</v>
      </c>
      <c r="W18" t="s">
        <v>382</v>
      </c>
      <c r="X18" t="s">
        <v>383</v>
      </c>
      <c r="Y18" t="s">
        <v>384</v>
      </c>
      <c r="Z18" t="s">
        <v>385</v>
      </c>
      <c r="AA18" t="s">
        <v>386</v>
      </c>
      <c r="AB18" t="s">
        <v>387</v>
      </c>
      <c r="AC18" t="s">
        <v>74</v>
      </c>
      <c r="AD18" t="s">
        <v>74</v>
      </c>
      <c r="AE18" t="s">
        <v>74</v>
      </c>
      <c r="AF18" t="s">
        <v>74</v>
      </c>
      <c r="AG18">
        <v>37</v>
      </c>
      <c r="AH18">
        <v>22</v>
      </c>
      <c r="AI18">
        <v>23</v>
      </c>
      <c r="AJ18">
        <v>0</v>
      </c>
      <c r="AK18">
        <v>2</v>
      </c>
      <c r="AL18" t="s">
        <v>363</v>
      </c>
      <c r="AM18" t="s">
        <v>364</v>
      </c>
      <c r="AN18" t="s">
        <v>365</v>
      </c>
      <c r="AO18" t="s">
        <v>388</v>
      </c>
      <c r="AP18" t="s">
        <v>389</v>
      </c>
      <c r="AQ18" t="s">
        <v>74</v>
      </c>
      <c r="AR18" t="s">
        <v>390</v>
      </c>
      <c r="AS18" t="s">
        <v>391</v>
      </c>
      <c r="AT18" t="s">
        <v>369</v>
      </c>
      <c r="AU18">
        <v>2004</v>
      </c>
      <c r="AV18">
        <v>109</v>
      </c>
      <c r="AW18" t="s">
        <v>392</v>
      </c>
      <c r="AX18" t="s">
        <v>74</v>
      </c>
      <c r="AY18" t="s">
        <v>74</v>
      </c>
      <c r="AZ18" t="s">
        <v>74</v>
      </c>
      <c r="BA18" t="s">
        <v>74</v>
      </c>
      <c r="BB18" t="s">
        <v>74</v>
      </c>
      <c r="BC18" t="s">
        <v>74</v>
      </c>
      <c r="BD18" t="s">
        <v>393</v>
      </c>
      <c r="BE18" t="s">
        <v>394</v>
      </c>
      <c r="BF18" t="str">
        <f>HYPERLINK("http://dx.doi.org/10.1029/2003JA010166","http://dx.doi.org/10.1029/2003JA010166")</f>
        <v>http://dx.doi.org/10.1029/2003JA010166</v>
      </c>
      <c r="BG18" t="s">
        <v>74</v>
      </c>
      <c r="BH18" t="s">
        <v>74</v>
      </c>
      <c r="BI18">
        <v>14</v>
      </c>
      <c r="BJ18" t="s">
        <v>395</v>
      </c>
      <c r="BK18" t="s">
        <v>96</v>
      </c>
      <c r="BL18" t="s">
        <v>395</v>
      </c>
      <c r="BM18" t="s">
        <v>396</v>
      </c>
      <c r="BN18" t="s">
        <v>74</v>
      </c>
      <c r="BO18" t="s">
        <v>397</v>
      </c>
      <c r="BP18" t="s">
        <v>74</v>
      </c>
      <c r="BQ18" t="s">
        <v>74</v>
      </c>
      <c r="BR18" t="s">
        <v>99</v>
      </c>
      <c r="BS18" t="s">
        <v>398</v>
      </c>
      <c r="BT18" t="str">
        <f>HYPERLINK("https%3A%2F%2Fwww.webofscience.com%2Fwos%2Fwoscc%2Ffull-record%2FWOS:000220746000001","View Full Record in Web of Science")</f>
        <v>View Full Record in Web of Science</v>
      </c>
    </row>
    <row r="19" spans="1:72" x14ac:dyDescent="0.15">
      <c r="A19" t="s">
        <v>72</v>
      </c>
      <c r="B19" t="s">
        <v>399</v>
      </c>
      <c r="C19" t="s">
        <v>74</v>
      </c>
      <c r="D19" t="s">
        <v>74</v>
      </c>
      <c r="E19" t="s">
        <v>74</v>
      </c>
      <c r="F19" t="s">
        <v>399</v>
      </c>
      <c r="G19" t="s">
        <v>74</v>
      </c>
      <c r="H19" t="s">
        <v>74</v>
      </c>
      <c r="I19" t="s">
        <v>400</v>
      </c>
      <c r="J19" t="s">
        <v>401</v>
      </c>
      <c r="K19" t="s">
        <v>74</v>
      </c>
      <c r="L19" t="s">
        <v>74</v>
      </c>
      <c r="M19" t="s">
        <v>77</v>
      </c>
      <c r="N19" t="s">
        <v>78</v>
      </c>
      <c r="O19" t="s">
        <v>74</v>
      </c>
      <c r="P19" t="s">
        <v>74</v>
      </c>
      <c r="Q19" t="s">
        <v>74</v>
      </c>
      <c r="R19" t="s">
        <v>74</v>
      </c>
      <c r="S19" t="s">
        <v>74</v>
      </c>
      <c r="T19" t="s">
        <v>74</v>
      </c>
      <c r="U19" t="s">
        <v>402</v>
      </c>
      <c r="V19" t="s">
        <v>403</v>
      </c>
      <c r="W19" t="s">
        <v>404</v>
      </c>
      <c r="X19" t="s">
        <v>405</v>
      </c>
      <c r="Y19" t="s">
        <v>406</v>
      </c>
      <c r="Z19" t="s">
        <v>74</v>
      </c>
      <c r="AA19" t="s">
        <v>407</v>
      </c>
      <c r="AB19" t="s">
        <v>408</v>
      </c>
      <c r="AC19" t="s">
        <v>74</v>
      </c>
      <c r="AD19" t="s">
        <v>74</v>
      </c>
      <c r="AE19" t="s">
        <v>74</v>
      </c>
      <c r="AF19" t="s">
        <v>74</v>
      </c>
      <c r="AG19">
        <v>61</v>
      </c>
      <c r="AH19">
        <v>32</v>
      </c>
      <c r="AI19">
        <v>35</v>
      </c>
      <c r="AJ19">
        <v>0</v>
      </c>
      <c r="AK19">
        <v>8</v>
      </c>
      <c r="AL19" t="s">
        <v>409</v>
      </c>
      <c r="AM19" t="s">
        <v>410</v>
      </c>
      <c r="AN19" t="s">
        <v>411</v>
      </c>
      <c r="AO19" t="s">
        <v>412</v>
      </c>
      <c r="AP19" t="s">
        <v>74</v>
      </c>
      <c r="AQ19" t="s">
        <v>74</v>
      </c>
      <c r="AR19" t="s">
        <v>401</v>
      </c>
      <c r="AS19" t="s">
        <v>413</v>
      </c>
      <c r="AT19" t="s">
        <v>369</v>
      </c>
      <c r="AU19">
        <v>2004</v>
      </c>
      <c r="AV19">
        <v>118</v>
      </c>
      <c r="AW19">
        <v>1</v>
      </c>
      <c r="AX19" t="s">
        <v>74</v>
      </c>
      <c r="AY19" t="s">
        <v>74</v>
      </c>
      <c r="AZ19" t="s">
        <v>74</v>
      </c>
      <c r="BA19" t="s">
        <v>74</v>
      </c>
      <c r="BB19">
        <v>1</v>
      </c>
      <c r="BC19">
        <v>42</v>
      </c>
      <c r="BD19" t="s">
        <v>74</v>
      </c>
      <c r="BE19" t="s">
        <v>74</v>
      </c>
      <c r="BF19" t="s">
        <v>74</v>
      </c>
      <c r="BG19" t="s">
        <v>74</v>
      </c>
      <c r="BH19" t="s">
        <v>74</v>
      </c>
      <c r="BI19">
        <v>42</v>
      </c>
      <c r="BJ19" t="s">
        <v>414</v>
      </c>
      <c r="BK19" t="s">
        <v>96</v>
      </c>
      <c r="BL19" t="s">
        <v>414</v>
      </c>
      <c r="BM19" t="s">
        <v>415</v>
      </c>
      <c r="BN19" t="s">
        <v>74</v>
      </c>
      <c r="BO19" t="s">
        <v>74</v>
      </c>
      <c r="BP19" t="s">
        <v>74</v>
      </c>
      <c r="BQ19" t="s">
        <v>74</v>
      </c>
      <c r="BR19" t="s">
        <v>99</v>
      </c>
      <c r="BS19" t="s">
        <v>416</v>
      </c>
      <c r="BT19" t="str">
        <f>HYPERLINK("https%3A%2F%2Fwww.webofscience.com%2Fwos%2Fwoscc%2Ffull-record%2FWOS:000222715800001","View Full Record in Web of Science")</f>
        <v>View Full Record in Web of Science</v>
      </c>
    </row>
    <row r="20" spans="1:72" x14ac:dyDescent="0.15">
      <c r="A20" t="s">
        <v>72</v>
      </c>
      <c r="B20" t="s">
        <v>417</v>
      </c>
      <c r="C20" t="s">
        <v>74</v>
      </c>
      <c r="D20" t="s">
        <v>74</v>
      </c>
      <c r="E20" t="s">
        <v>74</v>
      </c>
      <c r="F20" t="s">
        <v>417</v>
      </c>
      <c r="G20" t="s">
        <v>74</v>
      </c>
      <c r="H20" t="s">
        <v>74</v>
      </c>
      <c r="I20" t="s">
        <v>418</v>
      </c>
      <c r="J20" t="s">
        <v>419</v>
      </c>
      <c r="K20" t="s">
        <v>74</v>
      </c>
      <c r="L20" t="s">
        <v>74</v>
      </c>
      <c r="M20" t="s">
        <v>77</v>
      </c>
      <c r="N20" t="s">
        <v>78</v>
      </c>
      <c r="O20" t="s">
        <v>74</v>
      </c>
      <c r="P20" t="s">
        <v>74</v>
      </c>
      <c r="Q20" t="s">
        <v>74</v>
      </c>
      <c r="R20" t="s">
        <v>74</v>
      </c>
      <c r="S20" t="s">
        <v>74</v>
      </c>
      <c r="T20" t="s">
        <v>420</v>
      </c>
      <c r="U20" t="s">
        <v>421</v>
      </c>
      <c r="V20" t="s">
        <v>422</v>
      </c>
      <c r="W20" t="s">
        <v>423</v>
      </c>
      <c r="X20" t="s">
        <v>424</v>
      </c>
      <c r="Y20" t="s">
        <v>425</v>
      </c>
      <c r="Z20" t="s">
        <v>426</v>
      </c>
      <c r="AA20" t="s">
        <v>427</v>
      </c>
      <c r="AB20" t="s">
        <v>428</v>
      </c>
      <c r="AC20" t="s">
        <v>74</v>
      </c>
      <c r="AD20" t="s">
        <v>74</v>
      </c>
      <c r="AE20" t="s">
        <v>74</v>
      </c>
      <c r="AF20" t="s">
        <v>74</v>
      </c>
      <c r="AG20">
        <v>43</v>
      </c>
      <c r="AH20">
        <v>30</v>
      </c>
      <c r="AI20">
        <v>31</v>
      </c>
      <c r="AJ20">
        <v>1</v>
      </c>
      <c r="AK20">
        <v>19</v>
      </c>
      <c r="AL20" t="s">
        <v>363</v>
      </c>
      <c r="AM20" t="s">
        <v>364</v>
      </c>
      <c r="AN20" t="s">
        <v>365</v>
      </c>
      <c r="AO20" t="s">
        <v>429</v>
      </c>
      <c r="AP20" t="s">
        <v>430</v>
      </c>
      <c r="AQ20" t="s">
        <v>74</v>
      </c>
      <c r="AR20" t="s">
        <v>431</v>
      </c>
      <c r="AS20" t="s">
        <v>432</v>
      </c>
      <c r="AT20" t="s">
        <v>433</v>
      </c>
      <c r="AU20">
        <v>2004</v>
      </c>
      <c r="AV20">
        <v>109</v>
      </c>
      <c r="AW20" t="s">
        <v>434</v>
      </c>
      <c r="AX20" t="s">
        <v>74</v>
      </c>
      <c r="AY20" t="s">
        <v>74</v>
      </c>
      <c r="AZ20" t="s">
        <v>74</v>
      </c>
      <c r="BA20" t="s">
        <v>74</v>
      </c>
      <c r="BB20" t="s">
        <v>74</v>
      </c>
      <c r="BC20" t="s">
        <v>74</v>
      </c>
      <c r="BD20" t="s">
        <v>435</v>
      </c>
      <c r="BE20" t="s">
        <v>436</v>
      </c>
      <c r="BF20" t="str">
        <f>HYPERLINK("http://dx.doi.org/10.1029/2003JD003786","http://dx.doi.org/10.1029/2003JD003786")</f>
        <v>http://dx.doi.org/10.1029/2003JD003786</v>
      </c>
      <c r="BG20" t="s">
        <v>74</v>
      </c>
      <c r="BH20" t="s">
        <v>74</v>
      </c>
      <c r="BI20">
        <v>11</v>
      </c>
      <c r="BJ20" t="s">
        <v>186</v>
      </c>
      <c r="BK20" t="s">
        <v>96</v>
      </c>
      <c r="BL20" t="s">
        <v>186</v>
      </c>
      <c r="BM20" t="s">
        <v>437</v>
      </c>
      <c r="BN20" t="s">
        <v>74</v>
      </c>
      <c r="BO20" t="s">
        <v>74</v>
      </c>
      <c r="BP20" t="s">
        <v>74</v>
      </c>
      <c r="BQ20" t="s">
        <v>74</v>
      </c>
      <c r="BR20" t="s">
        <v>99</v>
      </c>
      <c r="BS20" t="s">
        <v>438</v>
      </c>
      <c r="BT20" t="str">
        <f>HYPERLINK("https%3A%2F%2Fwww.webofscience.com%2Fwos%2Fwoscc%2Ffull-record%2FWOS:000220744400001","View Full Record in Web of Science")</f>
        <v>View Full Record in Web of Science</v>
      </c>
    </row>
    <row r="21" spans="1:72" x14ac:dyDescent="0.15">
      <c r="A21" t="s">
        <v>72</v>
      </c>
      <c r="B21" t="s">
        <v>439</v>
      </c>
      <c r="C21" t="s">
        <v>74</v>
      </c>
      <c r="D21" t="s">
        <v>74</v>
      </c>
      <c r="E21" t="s">
        <v>74</v>
      </c>
      <c r="F21" t="s">
        <v>439</v>
      </c>
      <c r="G21" t="s">
        <v>74</v>
      </c>
      <c r="H21" t="s">
        <v>74</v>
      </c>
      <c r="I21" t="s">
        <v>440</v>
      </c>
      <c r="J21" t="s">
        <v>441</v>
      </c>
      <c r="K21" t="s">
        <v>74</v>
      </c>
      <c r="L21" t="s">
        <v>74</v>
      </c>
      <c r="M21" t="s">
        <v>77</v>
      </c>
      <c r="N21" t="s">
        <v>442</v>
      </c>
      <c r="O21" t="s">
        <v>74</v>
      </c>
      <c r="P21" t="s">
        <v>74</v>
      </c>
      <c r="Q21" t="s">
        <v>74</v>
      </c>
      <c r="R21" t="s">
        <v>74</v>
      </c>
      <c r="S21" t="s">
        <v>74</v>
      </c>
      <c r="T21" t="s">
        <v>74</v>
      </c>
      <c r="U21" t="s">
        <v>74</v>
      </c>
      <c r="V21" t="s">
        <v>74</v>
      </c>
      <c r="W21" t="s">
        <v>443</v>
      </c>
      <c r="X21" t="s">
        <v>444</v>
      </c>
      <c r="Y21" t="s">
        <v>445</v>
      </c>
      <c r="Z21" t="s">
        <v>446</v>
      </c>
      <c r="AA21" t="s">
        <v>74</v>
      </c>
      <c r="AB21" t="s">
        <v>74</v>
      </c>
      <c r="AC21" t="s">
        <v>74</v>
      </c>
      <c r="AD21" t="s">
        <v>74</v>
      </c>
      <c r="AE21" t="s">
        <v>74</v>
      </c>
      <c r="AF21" t="s">
        <v>74</v>
      </c>
      <c r="AG21">
        <v>3</v>
      </c>
      <c r="AH21">
        <v>0</v>
      </c>
      <c r="AI21">
        <v>0</v>
      </c>
      <c r="AJ21">
        <v>0</v>
      </c>
      <c r="AK21">
        <v>3</v>
      </c>
      <c r="AL21" t="s">
        <v>447</v>
      </c>
      <c r="AM21" t="s">
        <v>448</v>
      </c>
      <c r="AN21" t="s">
        <v>449</v>
      </c>
      <c r="AO21" t="s">
        <v>450</v>
      </c>
      <c r="AP21" t="s">
        <v>74</v>
      </c>
      <c r="AQ21" t="s">
        <v>74</v>
      </c>
      <c r="AR21" t="s">
        <v>451</v>
      </c>
      <c r="AS21" t="s">
        <v>452</v>
      </c>
      <c r="AT21" t="s">
        <v>453</v>
      </c>
      <c r="AU21">
        <v>2004</v>
      </c>
      <c r="AV21">
        <v>86</v>
      </c>
      <c r="AW21">
        <v>6</v>
      </c>
      <c r="AX21" t="s">
        <v>74</v>
      </c>
      <c r="AY21" t="s">
        <v>74</v>
      </c>
      <c r="AZ21" t="s">
        <v>74</v>
      </c>
      <c r="BA21" t="s">
        <v>74</v>
      </c>
      <c r="BB21">
        <v>757</v>
      </c>
      <c r="BC21">
        <v>757</v>
      </c>
      <c r="BD21" t="s">
        <v>74</v>
      </c>
      <c r="BE21" t="s">
        <v>74</v>
      </c>
      <c r="BF21" t="s">
        <v>74</v>
      </c>
      <c r="BG21" t="s">
        <v>74</v>
      </c>
      <c r="BH21" t="s">
        <v>74</v>
      </c>
      <c r="BI21">
        <v>1</v>
      </c>
      <c r="BJ21" t="s">
        <v>454</v>
      </c>
      <c r="BK21" t="s">
        <v>96</v>
      </c>
      <c r="BL21" t="s">
        <v>455</v>
      </c>
      <c r="BM21" t="s">
        <v>456</v>
      </c>
      <c r="BN21" t="s">
        <v>74</v>
      </c>
      <c r="BO21" t="s">
        <v>74</v>
      </c>
      <c r="BP21" t="s">
        <v>74</v>
      </c>
      <c r="BQ21" t="s">
        <v>74</v>
      </c>
      <c r="BR21" t="s">
        <v>99</v>
      </c>
      <c r="BS21" t="s">
        <v>457</v>
      </c>
      <c r="BT21" t="str">
        <f>HYPERLINK("https%3A%2F%2Fwww.webofscience.com%2Fwos%2Fwoscc%2Ffull-record%2FWOS:000220700300003","View Full Record in Web of Science")</f>
        <v>View Full Record in Web of Science</v>
      </c>
    </row>
    <row r="22" spans="1:72" x14ac:dyDescent="0.15">
      <c r="A22" t="s">
        <v>72</v>
      </c>
      <c r="B22" t="s">
        <v>458</v>
      </c>
      <c r="C22" t="s">
        <v>74</v>
      </c>
      <c r="D22" t="s">
        <v>74</v>
      </c>
      <c r="E22" t="s">
        <v>74</v>
      </c>
      <c r="F22" t="s">
        <v>458</v>
      </c>
      <c r="G22" t="s">
        <v>74</v>
      </c>
      <c r="H22" t="s">
        <v>74</v>
      </c>
      <c r="I22" t="s">
        <v>459</v>
      </c>
      <c r="J22" t="s">
        <v>460</v>
      </c>
      <c r="K22" t="s">
        <v>74</v>
      </c>
      <c r="L22" t="s">
        <v>74</v>
      </c>
      <c r="M22" t="s">
        <v>77</v>
      </c>
      <c r="N22" t="s">
        <v>78</v>
      </c>
      <c r="O22" t="s">
        <v>74</v>
      </c>
      <c r="P22" t="s">
        <v>74</v>
      </c>
      <c r="Q22" t="s">
        <v>74</v>
      </c>
      <c r="R22" t="s">
        <v>74</v>
      </c>
      <c r="S22" t="s">
        <v>74</v>
      </c>
      <c r="T22" t="s">
        <v>461</v>
      </c>
      <c r="U22" t="s">
        <v>462</v>
      </c>
      <c r="V22" t="s">
        <v>463</v>
      </c>
      <c r="W22" t="s">
        <v>464</v>
      </c>
      <c r="X22" t="s">
        <v>465</v>
      </c>
      <c r="Y22" t="s">
        <v>466</v>
      </c>
      <c r="Z22" t="s">
        <v>467</v>
      </c>
      <c r="AA22" t="s">
        <v>468</v>
      </c>
      <c r="AB22" t="s">
        <v>469</v>
      </c>
      <c r="AC22" t="s">
        <v>74</v>
      </c>
      <c r="AD22" t="s">
        <v>74</v>
      </c>
      <c r="AE22" t="s">
        <v>74</v>
      </c>
      <c r="AF22" t="s">
        <v>74</v>
      </c>
      <c r="AG22">
        <v>52</v>
      </c>
      <c r="AH22">
        <v>62</v>
      </c>
      <c r="AI22">
        <v>69</v>
      </c>
      <c r="AJ22">
        <v>0</v>
      </c>
      <c r="AK22">
        <v>11</v>
      </c>
      <c r="AL22" t="s">
        <v>363</v>
      </c>
      <c r="AM22" t="s">
        <v>364</v>
      </c>
      <c r="AN22" t="s">
        <v>365</v>
      </c>
      <c r="AO22" t="s">
        <v>470</v>
      </c>
      <c r="AP22" t="s">
        <v>471</v>
      </c>
      <c r="AQ22" t="s">
        <v>74</v>
      </c>
      <c r="AR22" t="s">
        <v>472</v>
      </c>
      <c r="AS22" t="s">
        <v>473</v>
      </c>
      <c r="AT22" t="s">
        <v>453</v>
      </c>
      <c r="AU22">
        <v>2004</v>
      </c>
      <c r="AV22">
        <v>109</v>
      </c>
      <c r="AW22" t="s">
        <v>474</v>
      </c>
      <c r="AX22" t="s">
        <v>74</v>
      </c>
      <c r="AY22" t="s">
        <v>74</v>
      </c>
      <c r="AZ22" t="s">
        <v>74</v>
      </c>
      <c r="BA22" t="s">
        <v>74</v>
      </c>
      <c r="BB22" t="s">
        <v>74</v>
      </c>
      <c r="BC22" t="s">
        <v>74</v>
      </c>
      <c r="BD22" t="s">
        <v>475</v>
      </c>
      <c r="BE22" t="s">
        <v>476</v>
      </c>
      <c r="BF22" t="str">
        <f>HYPERLINK("http://dx.doi.org/10.1029/2003JC002007","http://dx.doi.org/10.1029/2003JC002007")</f>
        <v>http://dx.doi.org/10.1029/2003JC002007</v>
      </c>
      <c r="BG22" t="s">
        <v>74</v>
      </c>
      <c r="BH22" t="s">
        <v>74</v>
      </c>
      <c r="BI22">
        <v>19</v>
      </c>
      <c r="BJ22" t="s">
        <v>477</v>
      </c>
      <c r="BK22" t="s">
        <v>96</v>
      </c>
      <c r="BL22" t="s">
        <v>477</v>
      </c>
      <c r="BM22" t="s">
        <v>478</v>
      </c>
      <c r="BN22" t="s">
        <v>74</v>
      </c>
      <c r="BO22" t="s">
        <v>479</v>
      </c>
      <c r="BP22" t="s">
        <v>74</v>
      </c>
      <c r="BQ22" t="s">
        <v>74</v>
      </c>
      <c r="BR22" t="s">
        <v>99</v>
      </c>
      <c r="BS22" t="s">
        <v>480</v>
      </c>
      <c r="BT22" t="str">
        <f>HYPERLINK("https%3A%2F%2Fwww.webofscience.com%2Fwos%2Fwoscc%2Ffull-record%2FWOS:000220623300002","View Full Record in Web of Science")</f>
        <v>View Full Record in Web of Science</v>
      </c>
    </row>
    <row r="23" spans="1:72" x14ac:dyDescent="0.15">
      <c r="A23" t="s">
        <v>72</v>
      </c>
      <c r="B23" t="s">
        <v>481</v>
      </c>
      <c r="C23" t="s">
        <v>74</v>
      </c>
      <c r="D23" t="s">
        <v>74</v>
      </c>
      <c r="E23" t="s">
        <v>74</v>
      </c>
      <c r="F23" t="s">
        <v>481</v>
      </c>
      <c r="G23" t="s">
        <v>74</v>
      </c>
      <c r="H23" t="s">
        <v>74</v>
      </c>
      <c r="I23" t="s">
        <v>482</v>
      </c>
      <c r="J23" t="s">
        <v>483</v>
      </c>
      <c r="K23" t="s">
        <v>74</v>
      </c>
      <c r="L23" t="s">
        <v>74</v>
      </c>
      <c r="M23" t="s">
        <v>77</v>
      </c>
      <c r="N23" t="s">
        <v>52</v>
      </c>
      <c r="O23" t="s">
        <v>484</v>
      </c>
      <c r="P23" t="s">
        <v>485</v>
      </c>
      <c r="Q23" t="s">
        <v>486</v>
      </c>
      <c r="R23" t="s">
        <v>74</v>
      </c>
      <c r="S23" t="s">
        <v>74</v>
      </c>
      <c r="T23" t="s">
        <v>74</v>
      </c>
      <c r="U23" t="s">
        <v>74</v>
      </c>
      <c r="V23" t="s">
        <v>74</v>
      </c>
      <c r="W23" t="s">
        <v>487</v>
      </c>
      <c r="X23" t="s">
        <v>488</v>
      </c>
      <c r="Y23" t="s">
        <v>74</v>
      </c>
      <c r="Z23" t="s">
        <v>74</v>
      </c>
      <c r="AA23" t="s">
        <v>74</v>
      </c>
      <c r="AB23" t="s">
        <v>74</v>
      </c>
      <c r="AC23" t="s">
        <v>74</v>
      </c>
      <c r="AD23" t="s">
        <v>74</v>
      </c>
      <c r="AE23" t="s">
        <v>74</v>
      </c>
      <c r="AF23" t="s">
        <v>74</v>
      </c>
      <c r="AG23">
        <v>0</v>
      </c>
      <c r="AH23">
        <v>0</v>
      </c>
      <c r="AI23">
        <v>0</v>
      </c>
      <c r="AJ23">
        <v>0</v>
      </c>
      <c r="AK23">
        <v>0</v>
      </c>
      <c r="AL23" t="s">
        <v>489</v>
      </c>
      <c r="AM23" t="s">
        <v>490</v>
      </c>
      <c r="AN23" t="s">
        <v>491</v>
      </c>
      <c r="AO23" t="s">
        <v>492</v>
      </c>
      <c r="AP23" t="s">
        <v>493</v>
      </c>
      <c r="AQ23" t="s">
        <v>74</v>
      </c>
      <c r="AR23" t="s">
        <v>494</v>
      </c>
      <c r="AS23" t="s">
        <v>495</v>
      </c>
      <c r="AT23" t="s">
        <v>496</v>
      </c>
      <c r="AU23">
        <v>2004</v>
      </c>
      <c r="AV23">
        <v>18</v>
      </c>
      <c r="AW23">
        <v>5</v>
      </c>
      <c r="AX23" t="s">
        <v>74</v>
      </c>
      <c r="AY23" t="s">
        <v>497</v>
      </c>
      <c r="AZ23" t="s">
        <v>74</v>
      </c>
      <c r="BA23" t="s">
        <v>74</v>
      </c>
      <c r="BB23" t="s">
        <v>498</v>
      </c>
      <c r="BC23" t="s">
        <v>498</v>
      </c>
      <c r="BD23" t="s">
        <v>74</v>
      </c>
      <c r="BE23" t="s">
        <v>74</v>
      </c>
      <c r="BF23" t="s">
        <v>74</v>
      </c>
      <c r="BG23" t="s">
        <v>74</v>
      </c>
      <c r="BH23" t="s">
        <v>74</v>
      </c>
      <c r="BI23">
        <v>1</v>
      </c>
      <c r="BJ23" t="s">
        <v>499</v>
      </c>
      <c r="BK23" t="s">
        <v>332</v>
      </c>
      <c r="BL23" t="s">
        <v>500</v>
      </c>
      <c r="BM23" t="s">
        <v>501</v>
      </c>
      <c r="BN23" t="s">
        <v>74</v>
      </c>
      <c r="BO23" t="s">
        <v>74</v>
      </c>
      <c r="BP23" t="s">
        <v>74</v>
      </c>
      <c r="BQ23" t="s">
        <v>74</v>
      </c>
      <c r="BR23" t="s">
        <v>99</v>
      </c>
      <c r="BS23" t="s">
        <v>502</v>
      </c>
      <c r="BT23" t="str">
        <f>HYPERLINK("https%3A%2F%2Fwww.webofscience.com%2Fwos%2Fwoscc%2Ffull-record%2FWOS:000220470702513","View Full Record in Web of Science")</f>
        <v>View Full Record in Web of Science</v>
      </c>
    </row>
    <row r="24" spans="1:72" x14ac:dyDescent="0.15">
      <c r="A24" t="s">
        <v>72</v>
      </c>
      <c r="B24" t="s">
        <v>503</v>
      </c>
      <c r="C24" t="s">
        <v>74</v>
      </c>
      <c r="D24" t="s">
        <v>74</v>
      </c>
      <c r="E24" t="s">
        <v>74</v>
      </c>
      <c r="F24" t="s">
        <v>503</v>
      </c>
      <c r="G24" t="s">
        <v>74</v>
      </c>
      <c r="H24" t="s">
        <v>74</v>
      </c>
      <c r="I24" t="s">
        <v>504</v>
      </c>
      <c r="J24" t="s">
        <v>460</v>
      </c>
      <c r="K24" t="s">
        <v>74</v>
      </c>
      <c r="L24" t="s">
        <v>74</v>
      </c>
      <c r="M24" t="s">
        <v>77</v>
      </c>
      <c r="N24" t="s">
        <v>78</v>
      </c>
      <c r="O24" t="s">
        <v>74</v>
      </c>
      <c r="P24" t="s">
        <v>74</v>
      </c>
      <c r="Q24" t="s">
        <v>74</v>
      </c>
      <c r="R24" t="s">
        <v>74</v>
      </c>
      <c r="S24" t="s">
        <v>74</v>
      </c>
      <c r="T24" t="s">
        <v>505</v>
      </c>
      <c r="U24" t="s">
        <v>506</v>
      </c>
      <c r="V24" t="s">
        <v>507</v>
      </c>
      <c r="W24" t="s">
        <v>508</v>
      </c>
      <c r="X24" t="s">
        <v>509</v>
      </c>
      <c r="Y24" t="s">
        <v>510</v>
      </c>
      <c r="Z24" t="s">
        <v>511</v>
      </c>
      <c r="AA24" t="s">
        <v>74</v>
      </c>
      <c r="AB24" t="s">
        <v>512</v>
      </c>
      <c r="AC24" t="s">
        <v>74</v>
      </c>
      <c r="AD24" t="s">
        <v>74</v>
      </c>
      <c r="AE24" t="s">
        <v>74</v>
      </c>
      <c r="AF24" t="s">
        <v>74</v>
      </c>
      <c r="AG24">
        <v>30</v>
      </c>
      <c r="AH24">
        <v>13</v>
      </c>
      <c r="AI24">
        <v>14</v>
      </c>
      <c r="AJ24">
        <v>0</v>
      </c>
      <c r="AK24">
        <v>2</v>
      </c>
      <c r="AL24" t="s">
        <v>363</v>
      </c>
      <c r="AM24" t="s">
        <v>364</v>
      </c>
      <c r="AN24" t="s">
        <v>365</v>
      </c>
      <c r="AO24" t="s">
        <v>470</v>
      </c>
      <c r="AP24" t="s">
        <v>471</v>
      </c>
      <c r="AQ24" t="s">
        <v>74</v>
      </c>
      <c r="AR24" t="s">
        <v>472</v>
      </c>
      <c r="AS24" t="s">
        <v>473</v>
      </c>
      <c r="AT24" t="s">
        <v>496</v>
      </c>
      <c r="AU24">
        <v>2004</v>
      </c>
      <c r="AV24">
        <v>109</v>
      </c>
      <c r="AW24" t="s">
        <v>474</v>
      </c>
      <c r="AX24" t="s">
        <v>74</v>
      </c>
      <c r="AY24" t="s">
        <v>74</v>
      </c>
      <c r="AZ24" t="s">
        <v>74</v>
      </c>
      <c r="BA24" t="s">
        <v>74</v>
      </c>
      <c r="BB24" t="s">
        <v>74</v>
      </c>
      <c r="BC24" t="s">
        <v>74</v>
      </c>
      <c r="BD24" t="s">
        <v>513</v>
      </c>
      <c r="BE24" t="s">
        <v>514</v>
      </c>
      <c r="BF24" t="str">
        <f>HYPERLINK("http://dx.doi.org/10.1029/2003JC002048","http://dx.doi.org/10.1029/2003JC002048")</f>
        <v>http://dx.doi.org/10.1029/2003JC002048</v>
      </c>
      <c r="BG24" t="s">
        <v>74</v>
      </c>
      <c r="BH24" t="s">
        <v>74</v>
      </c>
      <c r="BI24">
        <v>17</v>
      </c>
      <c r="BJ24" t="s">
        <v>477</v>
      </c>
      <c r="BK24" t="s">
        <v>96</v>
      </c>
      <c r="BL24" t="s">
        <v>477</v>
      </c>
      <c r="BM24" t="s">
        <v>515</v>
      </c>
      <c r="BN24" t="s">
        <v>74</v>
      </c>
      <c r="BO24" t="s">
        <v>516</v>
      </c>
      <c r="BP24" t="s">
        <v>74</v>
      </c>
      <c r="BQ24" t="s">
        <v>74</v>
      </c>
      <c r="BR24" t="s">
        <v>99</v>
      </c>
      <c r="BS24" t="s">
        <v>517</v>
      </c>
      <c r="BT24" t="str">
        <f>HYPERLINK("https%3A%2F%2Fwww.webofscience.com%2Fwos%2Fwoscc%2Ffull-record%2FWOS:000220623000004","View Full Record in Web of Science")</f>
        <v>View Full Record in Web of Science</v>
      </c>
    </row>
    <row r="25" spans="1:72" x14ac:dyDescent="0.15">
      <c r="A25" t="s">
        <v>72</v>
      </c>
      <c r="B25" t="s">
        <v>518</v>
      </c>
      <c r="C25" t="s">
        <v>74</v>
      </c>
      <c r="D25" t="s">
        <v>74</v>
      </c>
      <c r="E25" t="s">
        <v>74</v>
      </c>
      <c r="F25" t="s">
        <v>518</v>
      </c>
      <c r="G25" t="s">
        <v>74</v>
      </c>
      <c r="H25" t="s">
        <v>74</v>
      </c>
      <c r="I25" t="s">
        <v>519</v>
      </c>
      <c r="J25" t="s">
        <v>520</v>
      </c>
      <c r="K25" t="s">
        <v>74</v>
      </c>
      <c r="L25" t="s">
        <v>74</v>
      </c>
      <c r="M25" t="s">
        <v>77</v>
      </c>
      <c r="N25" t="s">
        <v>521</v>
      </c>
      <c r="O25" t="s">
        <v>74</v>
      </c>
      <c r="P25" t="s">
        <v>74</v>
      </c>
      <c r="Q25" t="s">
        <v>74</v>
      </c>
      <c r="R25" t="s">
        <v>74</v>
      </c>
      <c r="S25" t="s">
        <v>74</v>
      </c>
      <c r="T25" t="s">
        <v>74</v>
      </c>
      <c r="U25" t="s">
        <v>74</v>
      </c>
      <c r="V25" t="s">
        <v>74</v>
      </c>
      <c r="W25" t="s">
        <v>522</v>
      </c>
      <c r="X25" t="s">
        <v>523</v>
      </c>
      <c r="Y25" t="s">
        <v>524</v>
      </c>
      <c r="Z25" t="s">
        <v>525</v>
      </c>
      <c r="AA25" t="s">
        <v>526</v>
      </c>
      <c r="AB25" t="s">
        <v>527</v>
      </c>
      <c r="AC25" t="s">
        <v>74</v>
      </c>
      <c r="AD25" t="s">
        <v>74</v>
      </c>
      <c r="AE25" t="s">
        <v>74</v>
      </c>
      <c r="AF25" t="s">
        <v>74</v>
      </c>
      <c r="AG25">
        <v>1</v>
      </c>
      <c r="AH25">
        <v>0</v>
      </c>
      <c r="AI25">
        <v>0</v>
      </c>
      <c r="AJ25">
        <v>0</v>
      </c>
      <c r="AK25">
        <v>4</v>
      </c>
      <c r="AL25" t="s">
        <v>528</v>
      </c>
      <c r="AM25" t="s">
        <v>529</v>
      </c>
      <c r="AN25" t="s">
        <v>530</v>
      </c>
      <c r="AO25" t="s">
        <v>531</v>
      </c>
      <c r="AP25" t="s">
        <v>532</v>
      </c>
      <c r="AQ25" t="s">
        <v>74</v>
      </c>
      <c r="AR25" t="s">
        <v>533</v>
      </c>
      <c r="AS25" t="s">
        <v>534</v>
      </c>
      <c r="AT25" t="s">
        <v>535</v>
      </c>
      <c r="AU25">
        <v>2004</v>
      </c>
      <c r="AV25">
        <v>205</v>
      </c>
      <c r="AW25" t="s">
        <v>536</v>
      </c>
      <c r="AX25" t="s">
        <v>74</v>
      </c>
      <c r="AY25" t="s">
        <v>74</v>
      </c>
      <c r="AZ25" t="s">
        <v>74</v>
      </c>
      <c r="BA25" t="s">
        <v>74</v>
      </c>
      <c r="BB25">
        <v>177</v>
      </c>
      <c r="BC25">
        <v>182</v>
      </c>
      <c r="BD25" t="s">
        <v>74</v>
      </c>
      <c r="BE25" t="s">
        <v>537</v>
      </c>
      <c r="BF25" t="str">
        <f>HYPERLINK("http://dx.doi.org/10.1016/j.palaeo.2003.12.003","http://dx.doi.org/10.1016/j.palaeo.2003.12.003")</f>
        <v>http://dx.doi.org/10.1016/j.palaeo.2003.12.003</v>
      </c>
      <c r="BG25" t="s">
        <v>74</v>
      </c>
      <c r="BH25" t="s">
        <v>74</v>
      </c>
      <c r="BI25">
        <v>6</v>
      </c>
      <c r="BJ25" t="s">
        <v>538</v>
      </c>
      <c r="BK25" t="s">
        <v>96</v>
      </c>
      <c r="BL25" t="s">
        <v>539</v>
      </c>
      <c r="BM25" t="s">
        <v>540</v>
      </c>
      <c r="BN25" t="s">
        <v>74</v>
      </c>
      <c r="BO25" t="s">
        <v>541</v>
      </c>
      <c r="BP25" t="s">
        <v>74</v>
      </c>
      <c r="BQ25" t="s">
        <v>74</v>
      </c>
      <c r="BR25" t="s">
        <v>99</v>
      </c>
      <c r="BS25" t="s">
        <v>542</v>
      </c>
      <c r="BT25" t="str">
        <f>HYPERLINK("https%3A%2F%2Fwww.webofscience.com%2Fwos%2Fwoscc%2Ffull-record%2FWOS:000220534000010","View Full Record in Web of Science")</f>
        <v>View Full Record in Web of Science</v>
      </c>
    </row>
    <row r="26" spans="1:72" x14ac:dyDescent="0.15">
      <c r="A26" t="s">
        <v>72</v>
      </c>
      <c r="B26" t="s">
        <v>543</v>
      </c>
      <c r="C26" t="s">
        <v>74</v>
      </c>
      <c r="D26" t="s">
        <v>74</v>
      </c>
      <c r="E26" t="s">
        <v>74</v>
      </c>
      <c r="F26" t="s">
        <v>543</v>
      </c>
      <c r="G26" t="s">
        <v>74</v>
      </c>
      <c r="H26" t="s">
        <v>74</v>
      </c>
      <c r="I26" t="s">
        <v>544</v>
      </c>
      <c r="J26" t="s">
        <v>545</v>
      </c>
      <c r="K26" t="s">
        <v>74</v>
      </c>
      <c r="L26" t="s">
        <v>74</v>
      </c>
      <c r="M26" t="s">
        <v>77</v>
      </c>
      <c r="N26" t="s">
        <v>78</v>
      </c>
      <c r="O26" t="s">
        <v>74</v>
      </c>
      <c r="P26" t="s">
        <v>74</v>
      </c>
      <c r="Q26" t="s">
        <v>74</v>
      </c>
      <c r="R26" t="s">
        <v>74</v>
      </c>
      <c r="S26" t="s">
        <v>74</v>
      </c>
      <c r="T26" t="s">
        <v>74</v>
      </c>
      <c r="U26" t="s">
        <v>546</v>
      </c>
      <c r="V26" t="s">
        <v>547</v>
      </c>
      <c r="W26" t="s">
        <v>548</v>
      </c>
      <c r="X26" t="s">
        <v>549</v>
      </c>
      <c r="Y26" t="s">
        <v>550</v>
      </c>
      <c r="Z26" t="s">
        <v>551</v>
      </c>
      <c r="AA26" t="s">
        <v>74</v>
      </c>
      <c r="AB26" t="s">
        <v>552</v>
      </c>
      <c r="AC26" t="s">
        <v>74</v>
      </c>
      <c r="AD26" t="s">
        <v>74</v>
      </c>
      <c r="AE26" t="s">
        <v>74</v>
      </c>
      <c r="AF26" t="s">
        <v>74</v>
      </c>
      <c r="AG26">
        <v>8</v>
      </c>
      <c r="AH26">
        <v>5</v>
      </c>
      <c r="AI26">
        <v>5</v>
      </c>
      <c r="AJ26">
        <v>0</v>
      </c>
      <c r="AK26">
        <v>2</v>
      </c>
      <c r="AL26" t="s">
        <v>363</v>
      </c>
      <c r="AM26" t="s">
        <v>364</v>
      </c>
      <c r="AN26" t="s">
        <v>365</v>
      </c>
      <c r="AO26" t="s">
        <v>553</v>
      </c>
      <c r="AP26" t="s">
        <v>554</v>
      </c>
      <c r="AQ26" t="s">
        <v>74</v>
      </c>
      <c r="AR26" t="s">
        <v>555</v>
      </c>
      <c r="AS26" t="s">
        <v>556</v>
      </c>
      <c r="AT26" t="s">
        <v>557</v>
      </c>
      <c r="AU26">
        <v>2004</v>
      </c>
      <c r="AV26">
        <v>31</v>
      </c>
      <c r="AW26">
        <v>6</v>
      </c>
      <c r="AX26" t="s">
        <v>74</v>
      </c>
      <c r="AY26" t="s">
        <v>74</v>
      </c>
      <c r="AZ26" t="s">
        <v>74</v>
      </c>
      <c r="BA26" t="s">
        <v>74</v>
      </c>
      <c r="BB26" t="s">
        <v>74</v>
      </c>
      <c r="BC26" t="s">
        <v>74</v>
      </c>
      <c r="BD26" t="s">
        <v>558</v>
      </c>
      <c r="BE26" t="s">
        <v>559</v>
      </c>
      <c r="BF26" t="str">
        <f>HYPERLINK("http://dx.doi.org/10.1029/2003GL019357","http://dx.doi.org/10.1029/2003GL019357")</f>
        <v>http://dx.doi.org/10.1029/2003GL019357</v>
      </c>
      <c r="BG26" t="s">
        <v>74</v>
      </c>
      <c r="BH26" t="s">
        <v>74</v>
      </c>
      <c r="BI26">
        <v>4</v>
      </c>
      <c r="BJ26" t="s">
        <v>560</v>
      </c>
      <c r="BK26" t="s">
        <v>96</v>
      </c>
      <c r="BL26" t="s">
        <v>561</v>
      </c>
      <c r="BM26" t="s">
        <v>562</v>
      </c>
      <c r="BN26" t="s">
        <v>74</v>
      </c>
      <c r="BO26" t="s">
        <v>541</v>
      </c>
      <c r="BP26" t="s">
        <v>74</v>
      </c>
      <c r="BQ26" t="s">
        <v>74</v>
      </c>
      <c r="BR26" t="s">
        <v>99</v>
      </c>
      <c r="BS26" t="s">
        <v>563</v>
      </c>
      <c r="BT26" t="str">
        <f>HYPERLINK("https%3A%2F%2Fwww.webofscience.com%2Fwos%2Fwoscc%2Ffull-record%2FWOS:000220436800007","View Full Record in Web of Science")</f>
        <v>View Full Record in Web of Science</v>
      </c>
    </row>
    <row r="27" spans="1:72" x14ac:dyDescent="0.15">
      <c r="A27" t="s">
        <v>72</v>
      </c>
      <c r="B27" t="s">
        <v>564</v>
      </c>
      <c r="C27" t="s">
        <v>74</v>
      </c>
      <c r="D27" t="s">
        <v>74</v>
      </c>
      <c r="E27" t="s">
        <v>74</v>
      </c>
      <c r="F27" t="s">
        <v>564</v>
      </c>
      <c r="G27" t="s">
        <v>74</v>
      </c>
      <c r="H27" t="s">
        <v>74</v>
      </c>
      <c r="I27" t="s">
        <v>565</v>
      </c>
      <c r="J27" t="s">
        <v>419</v>
      </c>
      <c r="K27" t="s">
        <v>74</v>
      </c>
      <c r="L27" t="s">
        <v>74</v>
      </c>
      <c r="M27" t="s">
        <v>77</v>
      </c>
      <c r="N27" t="s">
        <v>78</v>
      </c>
      <c r="O27" t="s">
        <v>74</v>
      </c>
      <c r="P27" t="s">
        <v>74</v>
      </c>
      <c r="Q27" t="s">
        <v>74</v>
      </c>
      <c r="R27" t="s">
        <v>74</v>
      </c>
      <c r="S27" t="s">
        <v>74</v>
      </c>
      <c r="T27" t="s">
        <v>566</v>
      </c>
      <c r="U27" t="s">
        <v>567</v>
      </c>
      <c r="V27" t="s">
        <v>568</v>
      </c>
      <c r="W27" t="s">
        <v>569</v>
      </c>
      <c r="X27" t="s">
        <v>570</v>
      </c>
      <c r="Y27" t="s">
        <v>571</v>
      </c>
      <c r="Z27" t="s">
        <v>572</v>
      </c>
      <c r="AA27" t="s">
        <v>573</v>
      </c>
      <c r="AB27" t="s">
        <v>574</v>
      </c>
      <c r="AC27" t="s">
        <v>74</v>
      </c>
      <c r="AD27" t="s">
        <v>74</v>
      </c>
      <c r="AE27" t="s">
        <v>74</v>
      </c>
      <c r="AF27" t="s">
        <v>74</v>
      </c>
      <c r="AG27">
        <v>50</v>
      </c>
      <c r="AH27">
        <v>95</v>
      </c>
      <c r="AI27">
        <v>108</v>
      </c>
      <c r="AJ27">
        <v>1</v>
      </c>
      <c r="AK27">
        <v>15</v>
      </c>
      <c r="AL27" t="s">
        <v>363</v>
      </c>
      <c r="AM27" t="s">
        <v>364</v>
      </c>
      <c r="AN27" t="s">
        <v>365</v>
      </c>
      <c r="AO27" t="s">
        <v>429</v>
      </c>
      <c r="AP27" t="s">
        <v>430</v>
      </c>
      <c r="AQ27" t="s">
        <v>74</v>
      </c>
      <c r="AR27" t="s">
        <v>431</v>
      </c>
      <c r="AS27" t="s">
        <v>432</v>
      </c>
      <c r="AT27" t="s">
        <v>557</v>
      </c>
      <c r="AU27">
        <v>2004</v>
      </c>
      <c r="AV27">
        <v>109</v>
      </c>
      <c r="AW27" t="s">
        <v>434</v>
      </c>
      <c r="AX27" t="s">
        <v>74</v>
      </c>
      <c r="AY27" t="s">
        <v>74</v>
      </c>
      <c r="AZ27" t="s">
        <v>74</v>
      </c>
      <c r="BA27" t="s">
        <v>74</v>
      </c>
      <c r="BB27" t="s">
        <v>74</v>
      </c>
      <c r="BC27" t="s">
        <v>74</v>
      </c>
      <c r="BD27" t="s">
        <v>575</v>
      </c>
      <c r="BE27" t="s">
        <v>576</v>
      </c>
      <c r="BF27" t="str">
        <f>HYPERLINK("http://dx.doi.org/10.1029/2003JD004133","http://dx.doi.org/10.1029/2003JD004133")</f>
        <v>http://dx.doi.org/10.1029/2003JD004133</v>
      </c>
      <c r="BG27" t="s">
        <v>74</v>
      </c>
      <c r="BH27" t="s">
        <v>74</v>
      </c>
      <c r="BI27">
        <v>15</v>
      </c>
      <c r="BJ27" t="s">
        <v>186</v>
      </c>
      <c r="BK27" t="s">
        <v>96</v>
      </c>
      <c r="BL27" t="s">
        <v>186</v>
      </c>
      <c r="BM27" t="s">
        <v>577</v>
      </c>
      <c r="BN27" t="s">
        <v>74</v>
      </c>
      <c r="BO27" t="s">
        <v>516</v>
      </c>
      <c r="BP27" t="s">
        <v>74</v>
      </c>
      <c r="BQ27" t="s">
        <v>74</v>
      </c>
      <c r="BR27" t="s">
        <v>99</v>
      </c>
      <c r="BS27" t="s">
        <v>578</v>
      </c>
      <c r="BT27" t="str">
        <f>HYPERLINK("https%3A%2F%2Fwww.webofscience.com%2Fwos%2Fwoscc%2Ffull-record%2FWOS:000220438000005","View Full Record in Web of Science")</f>
        <v>View Full Record in Web of Science</v>
      </c>
    </row>
    <row r="28" spans="1:72" x14ac:dyDescent="0.15">
      <c r="A28" t="s">
        <v>72</v>
      </c>
      <c r="B28" t="s">
        <v>579</v>
      </c>
      <c r="C28" t="s">
        <v>74</v>
      </c>
      <c r="D28" t="s">
        <v>74</v>
      </c>
      <c r="E28" t="s">
        <v>74</v>
      </c>
      <c r="F28" t="s">
        <v>579</v>
      </c>
      <c r="G28" t="s">
        <v>74</v>
      </c>
      <c r="H28" t="s">
        <v>74</v>
      </c>
      <c r="I28" t="s">
        <v>580</v>
      </c>
      <c r="J28" t="s">
        <v>545</v>
      </c>
      <c r="K28" t="s">
        <v>74</v>
      </c>
      <c r="L28" t="s">
        <v>74</v>
      </c>
      <c r="M28" t="s">
        <v>77</v>
      </c>
      <c r="N28" t="s">
        <v>78</v>
      </c>
      <c r="O28" t="s">
        <v>74</v>
      </c>
      <c r="P28" t="s">
        <v>74</v>
      </c>
      <c r="Q28" t="s">
        <v>74</v>
      </c>
      <c r="R28" t="s">
        <v>74</v>
      </c>
      <c r="S28" t="s">
        <v>74</v>
      </c>
      <c r="T28" t="s">
        <v>74</v>
      </c>
      <c r="U28" t="s">
        <v>581</v>
      </c>
      <c r="V28" t="s">
        <v>582</v>
      </c>
      <c r="W28" t="s">
        <v>583</v>
      </c>
      <c r="X28" t="s">
        <v>584</v>
      </c>
      <c r="Y28" t="s">
        <v>585</v>
      </c>
      <c r="Z28" t="s">
        <v>586</v>
      </c>
      <c r="AA28" t="s">
        <v>74</v>
      </c>
      <c r="AB28" t="s">
        <v>587</v>
      </c>
      <c r="AC28" t="s">
        <v>74</v>
      </c>
      <c r="AD28" t="s">
        <v>74</v>
      </c>
      <c r="AE28" t="s">
        <v>74</v>
      </c>
      <c r="AF28" t="s">
        <v>74</v>
      </c>
      <c r="AG28">
        <v>21</v>
      </c>
      <c r="AH28">
        <v>61</v>
      </c>
      <c r="AI28">
        <v>65</v>
      </c>
      <c r="AJ28">
        <v>0</v>
      </c>
      <c r="AK28">
        <v>9</v>
      </c>
      <c r="AL28" t="s">
        <v>363</v>
      </c>
      <c r="AM28" t="s">
        <v>364</v>
      </c>
      <c r="AN28" t="s">
        <v>365</v>
      </c>
      <c r="AO28" t="s">
        <v>553</v>
      </c>
      <c r="AP28" t="s">
        <v>554</v>
      </c>
      <c r="AQ28" t="s">
        <v>74</v>
      </c>
      <c r="AR28" t="s">
        <v>555</v>
      </c>
      <c r="AS28" t="s">
        <v>556</v>
      </c>
      <c r="AT28" t="s">
        <v>588</v>
      </c>
      <c r="AU28">
        <v>2004</v>
      </c>
      <c r="AV28">
        <v>31</v>
      </c>
      <c r="AW28">
        <v>6</v>
      </c>
      <c r="AX28" t="s">
        <v>74</v>
      </c>
      <c r="AY28" t="s">
        <v>74</v>
      </c>
      <c r="AZ28" t="s">
        <v>74</v>
      </c>
      <c r="BA28" t="s">
        <v>74</v>
      </c>
      <c r="BB28" t="s">
        <v>74</v>
      </c>
      <c r="BC28" t="s">
        <v>74</v>
      </c>
      <c r="BD28" t="s">
        <v>589</v>
      </c>
      <c r="BE28" t="s">
        <v>590</v>
      </c>
      <c r="BF28" t="str">
        <f>HYPERLINK("http://dx.doi.org/10.1029/2003GL019160","http://dx.doi.org/10.1029/2003GL019160")</f>
        <v>http://dx.doi.org/10.1029/2003GL019160</v>
      </c>
      <c r="BG28" t="s">
        <v>74</v>
      </c>
      <c r="BH28" t="s">
        <v>74</v>
      </c>
      <c r="BI28">
        <v>4</v>
      </c>
      <c r="BJ28" t="s">
        <v>560</v>
      </c>
      <c r="BK28" t="s">
        <v>96</v>
      </c>
      <c r="BL28" t="s">
        <v>561</v>
      </c>
      <c r="BM28" t="s">
        <v>591</v>
      </c>
      <c r="BN28" t="s">
        <v>74</v>
      </c>
      <c r="BO28" t="s">
        <v>592</v>
      </c>
      <c r="BP28" t="s">
        <v>74</v>
      </c>
      <c r="BQ28" t="s">
        <v>74</v>
      </c>
      <c r="BR28" t="s">
        <v>99</v>
      </c>
      <c r="BS28" t="s">
        <v>593</v>
      </c>
      <c r="BT28" t="str">
        <f>HYPERLINK("https%3A%2F%2Fwww.webofscience.com%2Fwos%2Fwoscc%2Ffull-record%2FWOS:000220436600006","View Full Record in Web of Science")</f>
        <v>View Full Record in Web of Science</v>
      </c>
    </row>
    <row r="29" spans="1:72" x14ac:dyDescent="0.15">
      <c r="A29" t="s">
        <v>72</v>
      </c>
      <c r="B29" t="s">
        <v>594</v>
      </c>
      <c r="C29" t="s">
        <v>74</v>
      </c>
      <c r="D29" t="s">
        <v>74</v>
      </c>
      <c r="E29" t="s">
        <v>74</v>
      </c>
      <c r="F29" t="s">
        <v>594</v>
      </c>
      <c r="G29" t="s">
        <v>74</v>
      </c>
      <c r="H29" t="s">
        <v>74</v>
      </c>
      <c r="I29" t="s">
        <v>595</v>
      </c>
      <c r="J29" t="s">
        <v>356</v>
      </c>
      <c r="K29" t="s">
        <v>74</v>
      </c>
      <c r="L29" t="s">
        <v>74</v>
      </c>
      <c r="M29" t="s">
        <v>77</v>
      </c>
      <c r="N29" t="s">
        <v>78</v>
      </c>
      <c r="O29" t="s">
        <v>74</v>
      </c>
      <c r="P29" t="s">
        <v>74</v>
      </c>
      <c r="Q29" t="s">
        <v>74</v>
      </c>
      <c r="R29" t="s">
        <v>74</v>
      </c>
      <c r="S29" t="s">
        <v>74</v>
      </c>
      <c r="T29" t="s">
        <v>596</v>
      </c>
      <c r="U29" t="s">
        <v>597</v>
      </c>
      <c r="V29" t="s">
        <v>598</v>
      </c>
      <c r="W29" t="s">
        <v>599</v>
      </c>
      <c r="X29" t="s">
        <v>600</v>
      </c>
      <c r="Y29" t="s">
        <v>601</v>
      </c>
      <c r="Z29" t="s">
        <v>602</v>
      </c>
      <c r="AA29" t="s">
        <v>74</v>
      </c>
      <c r="AB29" t="s">
        <v>603</v>
      </c>
      <c r="AC29" t="s">
        <v>74</v>
      </c>
      <c r="AD29" t="s">
        <v>74</v>
      </c>
      <c r="AE29" t="s">
        <v>74</v>
      </c>
      <c r="AF29" t="s">
        <v>74</v>
      </c>
      <c r="AG29">
        <v>72</v>
      </c>
      <c r="AH29">
        <v>32</v>
      </c>
      <c r="AI29">
        <v>32</v>
      </c>
      <c r="AJ29">
        <v>0</v>
      </c>
      <c r="AK29">
        <v>13</v>
      </c>
      <c r="AL29" t="s">
        <v>363</v>
      </c>
      <c r="AM29" t="s">
        <v>364</v>
      </c>
      <c r="AN29" t="s">
        <v>365</v>
      </c>
      <c r="AO29" t="s">
        <v>366</v>
      </c>
      <c r="AP29" t="s">
        <v>604</v>
      </c>
      <c r="AQ29" t="s">
        <v>74</v>
      </c>
      <c r="AR29" t="s">
        <v>367</v>
      </c>
      <c r="AS29" t="s">
        <v>368</v>
      </c>
      <c r="AT29" t="s">
        <v>588</v>
      </c>
      <c r="AU29">
        <v>2004</v>
      </c>
      <c r="AV29">
        <v>18</v>
      </c>
      <c r="AW29">
        <v>1</v>
      </c>
      <c r="AX29" t="s">
        <v>74</v>
      </c>
      <c r="AY29" t="s">
        <v>74</v>
      </c>
      <c r="AZ29" t="s">
        <v>74</v>
      </c>
      <c r="BA29" t="s">
        <v>74</v>
      </c>
      <c r="BB29" t="s">
        <v>74</v>
      </c>
      <c r="BC29" t="s">
        <v>74</v>
      </c>
      <c r="BD29" t="s">
        <v>605</v>
      </c>
      <c r="BE29" t="s">
        <v>606</v>
      </c>
      <c r="BF29" t="str">
        <f>HYPERLINK("http://dx.doi.org/10.1029/2002GB002017","http://dx.doi.org/10.1029/2002GB002017")</f>
        <v>http://dx.doi.org/10.1029/2002GB002017</v>
      </c>
      <c r="BG29" t="s">
        <v>74</v>
      </c>
      <c r="BH29" t="s">
        <v>74</v>
      </c>
      <c r="BI29">
        <v>21</v>
      </c>
      <c r="BJ29" t="s">
        <v>372</v>
      </c>
      <c r="BK29" t="s">
        <v>96</v>
      </c>
      <c r="BL29" t="s">
        <v>373</v>
      </c>
      <c r="BM29" t="s">
        <v>607</v>
      </c>
      <c r="BN29" t="s">
        <v>74</v>
      </c>
      <c r="BO29" t="s">
        <v>479</v>
      </c>
      <c r="BP29" t="s">
        <v>74</v>
      </c>
      <c r="BQ29" t="s">
        <v>74</v>
      </c>
      <c r="BR29" t="s">
        <v>99</v>
      </c>
      <c r="BS29" t="s">
        <v>608</v>
      </c>
      <c r="BT29" t="str">
        <f>HYPERLINK("https%3A%2F%2Fwww.webofscience.com%2Fwos%2Fwoscc%2Ffull-record%2FWOS:000220437700001","View Full Record in Web of Science")</f>
        <v>View Full Record in Web of Science</v>
      </c>
    </row>
    <row r="30" spans="1:72" x14ac:dyDescent="0.15">
      <c r="A30" t="s">
        <v>72</v>
      </c>
      <c r="B30" t="s">
        <v>609</v>
      </c>
      <c r="C30" t="s">
        <v>74</v>
      </c>
      <c r="D30" t="s">
        <v>74</v>
      </c>
      <c r="E30" t="s">
        <v>74</v>
      </c>
      <c r="F30" t="s">
        <v>609</v>
      </c>
      <c r="G30" t="s">
        <v>74</v>
      </c>
      <c r="H30" t="s">
        <v>74</v>
      </c>
      <c r="I30" t="s">
        <v>610</v>
      </c>
      <c r="J30" t="s">
        <v>545</v>
      </c>
      <c r="K30" t="s">
        <v>74</v>
      </c>
      <c r="L30" t="s">
        <v>74</v>
      </c>
      <c r="M30" t="s">
        <v>77</v>
      </c>
      <c r="N30" t="s">
        <v>78</v>
      </c>
      <c r="O30" t="s">
        <v>74</v>
      </c>
      <c r="P30" t="s">
        <v>74</v>
      </c>
      <c r="Q30" t="s">
        <v>74</v>
      </c>
      <c r="R30" t="s">
        <v>74</v>
      </c>
      <c r="S30" t="s">
        <v>74</v>
      </c>
      <c r="T30" t="s">
        <v>74</v>
      </c>
      <c r="U30" t="s">
        <v>611</v>
      </c>
      <c r="V30" t="s">
        <v>612</v>
      </c>
      <c r="W30" t="s">
        <v>613</v>
      </c>
      <c r="X30" t="s">
        <v>614</v>
      </c>
      <c r="Y30" t="s">
        <v>615</v>
      </c>
      <c r="Z30" t="s">
        <v>616</v>
      </c>
      <c r="AA30" t="s">
        <v>617</v>
      </c>
      <c r="AB30" t="s">
        <v>618</v>
      </c>
      <c r="AC30" t="s">
        <v>74</v>
      </c>
      <c r="AD30" t="s">
        <v>74</v>
      </c>
      <c r="AE30" t="s">
        <v>74</v>
      </c>
      <c r="AF30" t="s">
        <v>74</v>
      </c>
      <c r="AG30">
        <v>21</v>
      </c>
      <c r="AH30">
        <v>42</v>
      </c>
      <c r="AI30">
        <v>46</v>
      </c>
      <c r="AJ30">
        <v>0</v>
      </c>
      <c r="AK30">
        <v>13</v>
      </c>
      <c r="AL30" t="s">
        <v>363</v>
      </c>
      <c r="AM30" t="s">
        <v>364</v>
      </c>
      <c r="AN30" t="s">
        <v>365</v>
      </c>
      <c r="AO30" t="s">
        <v>553</v>
      </c>
      <c r="AP30" t="s">
        <v>554</v>
      </c>
      <c r="AQ30" t="s">
        <v>74</v>
      </c>
      <c r="AR30" t="s">
        <v>555</v>
      </c>
      <c r="AS30" t="s">
        <v>556</v>
      </c>
      <c r="AT30" t="s">
        <v>619</v>
      </c>
      <c r="AU30">
        <v>2004</v>
      </c>
      <c r="AV30">
        <v>31</v>
      </c>
      <c r="AW30">
        <v>6</v>
      </c>
      <c r="AX30" t="s">
        <v>74</v>
      </c>
      <c r="AY30" t="s">
        <v>74</v>
      </c>
      <c r="AZ30" t="s">
        <v>74</v>
      </c>
      <c r="BA30" t="s">
        <v>74</v>
      </c>
      <c r="BB30" t="s">
        <v>74</v>
      </c>
      <c r="BC30" t="s">
        <v>74</v>
      </c>
      <c r="BD30" t="s">
        <v>620</v>
      </c>
      <c r="BE30" t="s">
        <v>621</v>
      </c>
      <c r="BF30" t="str">
        <f>HYPERLINK("http://dx.doi.org/10.1029/2003GL019140","http://dx.doi.org/10.1029/2003GL019140")</f>
        <v>http://dx.doi.org/10.1029/2003GL019140</v>
      </c>
      <c r="BG30" t="s">
        <v>74</v>
      </c>
      <c r="BH30" t="s">
        <v>74</v>
      </c>
      <c r="BI30">
        <v>5</v>
      </c>
      <c r="BJ30" t="s">
        <v>560</v>
      </c>
      <c r="BK30" t="s">
        <v>96</v>
      </c>
      <c r="BL30" t="s">
        <v>561</v>
      </c>
      <c r="BM30" t="s">
        <v>622</v>
      </c>
      <c r="BN30" t="s">
        <v>74</v>
      </c>
      <c r="BO30" t="s">
        <v>623</v>
      </c>
      <c r="BP30" t="s">
        <v>74</v>
      </c>
      <c r="BQ30" t="s">
        <v>74</v>
      </c>
      <c r="BR30" t="s">
        <v>99</v>
      </c>
      <c r="BS30" t="s">
        <v>624</v>
      </c>
      <c r="BT30" t="str">
        <f>HYPERLINK("https%3A%2F%2Fwww.webofscience.com%2Fwos%2Fwoscc%2Ffull-record%2FWOS:000220436200005","View Full Record in Web of Science")</f>
        <v>View Full Record in Web of Science</v>
      </c>
    </row>
    <row r="31" spans="1:72" x14ac:dyDescent="0.15">
      <c r="A31" t="s">
        <v>72</v>
      </c>
      <c r="B31" t="s">
        <v>625</v>
      </c>
      <c r="C31" t="s">
        <v>74</v>
      </c>
      <c r="D31" t="s">
        <v>74</v>
      </c>
      <c r="E31" t="s">
        <v>74</v>
      </c>
      <c r="F31" t="s">
        <v>625</v>
      </c>
      <c r="G31" t="s">
        <v>74</v>
      </c>
      <c r="H31" t="s">
        <v>74</v>
      </c>
      <c r="I31" t="s">
        <v>626</v>
      </c>
      <c r="J31" t="s">
        <v>460</v>
      </c>
      <c r="K31" t="s">
        <v>74</v>
      </c>
      <c r="L31" t="s">
        <v>74</v>
      </c>
      <c r="M31" t="s">
        <v>77</v>
      </c>
      <c r="N31" t="s">
        <v>268</v>
      </c>
      <c r="O31" t="s">
        <v>74</v>
      </c>
      <c r="P31" t="s">
        <v>74</v>
      </c>
      <c r="Q31" t="s">
        <v>74</v>
      </c>
      <c r="R31" t="s">
        <v>74</v>
      </c>
      <c r="S31" t="s">
        <v>74</v>
      </c>
      <c r="T31" t="s">
        <v>627</v>
      </c>
      <c r="U31" t="s">
        <v>628</v>
      </c>
      <c r="V31" t="s">
        <v>629</v>
      </c>
      <c r="W31" t="s">
        <v>630</v>
      </c>
      <c r="X31" t="s">
        <v>631</v>
      </c>
      <c r="Y31" t="s">
        <v>632</v>
      </c>
      <c r="Z31" t="s">
        <v>633</v>
      </c>
      <c r="AA31" t="s">
        <v>634</v>
      </c>
      <c r="AB31" t="s">
        <v>635</v>
      </c>
      <c r="AC31" t="s">
        <v>636</v>
      </c>
      <c r="AD31" t="s">
        <v>637</v>
      </c>
      <c r="AE31" t="s">
        <v>74</v>
      </c>
      <c r="AF31" t="s">
        <v>74</v>
      </c>
      <c r="AG31">
        <v>108</v>
      </c>
      <c r="AH31">
        <v>38</v>
      </c>
      <c r="AI31">
        <v>38</v>
      </c>
      <c r="AJ31">
        <v>0</v>
      </c>
      <c r="AK31">
        <v>22</v>
      </c>
      <c r="AL31" t="s">
        <v>363</v>
      </c>
      <c r="AM31" t="s">
        <v>364</v>
      </c>
      <c r="AN31" t="s">
        <v>365</v>
      </c>
      <c r="AO31" t="s">
        <v>470</v>
      </c>
      <c r="AP31" t="s">
        <v>471</v>
      </c>
      <c r="AQ31" t="s">
        <v>74</v>
      </c>
      <c r="AR31" t="s">
        <v>472</v>
      </c>
      <c r="AS31" t="s">
        <v>473</v>
      </c>
      <c r="AT31" t="s">
        <v>619</v>
      </c>
      <c r="AU31">
        <v>2004</v>
      </c>
      <c r="AV31">
        <v>109</v>
      </c>
      <c r="AW31" t="s">
        <v>474</v>
      </c>
      <c r="AX31" t="s">
        <v>74</v>
      </c>
      <c r="AY31" t="s">
        <v>74</v>
      </c>
      <c r="AZ31" t="s">
        <v>74</v>
      </c>
      <c r="BA31" t="s">
        <v>74</v>
      </c>
      <c r="BB31" t="s">
        <v>74</v>
      </c>
      <c r="BC31" t="s">
        <v>74</v>
      </c>
      <c r="BD31" t="s">
        <v>638</v>
      </c>
      <c r="BE31" t="s">
        <v>639</v>
      </c>
      <c r="BF31" t="str">
        <f>HYPERLINK("http://dx.doi.org/10.1029/2003JC002015","http://dx.doi.org/10.1029/2003JC002015")</f>
        <v>http://dx.doi.org/10.1029/2003JC002015</v>
      </c>
      <c r="BG31" t="s">
        <v>74</v>
      </c>
      <c r="BH31" t="s">
        <v>74</v>
      </c>
      <c r="BI31">
        <v>23</v>
      </c>
      <c r="BJ31" t="s">
        <v>477</v>
      </c>
      <c r="BK31" t="s">
        <v>96</v>
      </c>
      <c r="BL31" t="s">
        <v>477</v>
      </c>
      <c r="BM31" t="s">
        <v>640</v>
      </c>
      <c r="BN31" t="s">
        <v>74</v>
      </c>
      <c r="BO31" t="s">
        <v>623</v>
      </c>
      <c r="BP31" t="s">
        <v>74</v>
      </c>
      <c r="BQ31" t="s">
        <v>74</v>
      </c>
      <c r="BR31" t="s">
        <v>99</v>
      </c>
      <c r="BS31" t="s">
        <v>641</v>
      </c>
      <c r="BT31" t="str">
        <f>HYPERLINK("https%3A%2F%2Fwww.webofscience.com%2Fwos%2Fwoscc%2Ffull-record%2FWOS:000220438300004","View Full Record in Web of Science")</f>
        <v>View Full Record in Web of Science</v>
      </c>
    </row>
    <row r="32" spans="1:72" x14ac:dyDescent="0.15">
      <c r="A32" t="s">
        <v>72</v>
      </c>
      <c r="B32" t="s">
        <v>642</v>
      </c>
      <c r="C32" t="s">
        <v>74</v>
      </c>
      <c r="D32" t="s">
        <v>74</v>
      </c>
      <c r="E32" t="s">
        <v>74</v>
      </c>
      <c r="F32" t="s">
        <v>642</v>
      </c>
      <c r="G32" t="s">
        <v>74</v>
      </c>
      <c r="H32" t="s">
        <v>74</v>
      </c>
      <c r="I32" t="s">
        <v>643</v>
      </c>
      <c r="J32" t="s">
        <v>460</v>
      </c>
      <c r="K32" t="s">
        <v>74</v>
      </c>
      <c r="L32" t="s">
        <v>74</v>
      </c>
      <c r="M32" t="s">
        <v>77</v>
      </c>
      <c r="N32" t="s">
        <v>78</v>
      </c>
      <c r="O32" t="s">
        <v>74</v>
      </c>
      <c r="P32" t="s">
        <v>74</v>
      </c>
      <c r="Q32" t="s">
        <v>74</v>
      </c>
      <c r="R32" t="s">
        <v>74</v>
      </c>
      <c r="S32" t="s">
        <v>74</v>
      </c>
      <c r="T32" t="s">
        <v>644</v>
      </c>
      <c r="U32" t="s">
        <v>645</v>
      </c>
      <c r="V32" t="s">
        <v>646</v>
      </c>
      <c r="W32" t="s">
        <v>647</v>
      </c>
      <c r="X32" t="s">
        <v>82</v>
      </c>
      <c r="Y32" t="s">
        <v>648</v>
      </c>
      <c r="Z32" t="s">
        <v>649</v>
      </c>
      <c r="AA32" t="s">
        <v>650</v>
      </c>
      <c r="AB32" t="s">
        <v>651</v>
      </c>
      <c r="AC32" t="s">
        <v>74</v>
      </c>
      <c r="AD32" t="s">
        <v>74</v>
      </c>
      <c r="AE32" t="s">
        <v>74</v>
      </c>
      <c r="AF32" t="s">
        <v>74</v>
      </c>
      <c r="AG32">
        <v>38</v>
      </c>
      <c r="AH32">
        <v>59</v>
      </c>
      <c r="AI32">
        <v>59</v>
      </c>
      <c r="AJ32">
        <v>1</v>
      </c>
      <c r="AK32">
        <v>20</v>
      </c>
      <c r="AL32" t="s">
        <v>363</v>
      </c>
      <c r="AM32" t="s">
        <v>364</v>
      </c>
      <c r="AN32" t="s">
        <v>365</v>
      </c>
      <c r="AO32" t="s">
        <v>470</v>
      </c>
      <c r="AP32" t="s">
        <v>471</v>
      </c>
      <c r="AQ32" t="s">
        <v>74</v>
      </c>
      <c r="AR32" t="s">
        <v>472</v>
      </c>
      <c r="AS32" t="s">
        <v>473</v>
      </c>
      <c r="AT32" t="s">
        <v>619</v>
      </c>
      <c r="AU32">
        <v>2004</v>
      </c>
      <c r="AV32">
        <v>109</v>
      </c>
      <c r="AW32" t="s">
        <v>474</v>
      </c>
      <c r="AX32" t="s">
        <v>74</v>
      </c>
      <c r="AY32" t="s">
        <v>74</v>
      </c>
      <c r="AZ32" t="s">
        <v>74</v>
      </c>
      <c r="BA32" t="s">
        <v>74</v>
      </c>
      <c r="BB32" t="s">
        <v>74</v>
      </c>
      <c r="BC32" t="s">
        <v>74</v>
      </c>
      <c r="BD32" t="s">
        <v>652</v>
      </c>
      <c r="BE32" t="s">
        <v>653</v>
      </c>
      <c r="BF32" t="str">
        <f>HYPERLINK("http://dx.doi.org/10.1029/2003JC001851","http://dx.doi.org/10.1029/2003JC001851")</f>
        <v>http://dx.doi.org/10.1029/2003JC001851</v>
      </c>
      <c r="BG32" t="s">
        <v>74</v>
      </c>
      <c r="BH32" t="s">
        <v>74</v>
      </c>
      <c r="BI32">
        <v>15</v>
      </c>
      <c r="BJ32" t="s">
        <v>477</v>
      </c>
      <c r="BK32" t="s">
        <v>96</v>
      </c>
      <c r="BL32" t="s">
        <v>477</v>
      </c>
      <c r="BM32" t="s">
        <v>640</v>
      </c>
      <c r="BN32" t="s">
        <v>74</v>
      </c>
      <c r="BO32" t="s">
        <v>397</v>
      </c>
      <c r="BP32" t="s">
        <v>74</v>
      </c>
      <c r="BQ32" t="s">
        <v>74</v>
      </c>
      <c r="BR32" t="s">
        <v>99</v>
      </c>
      <c r="BS32" t="s">
        <v>654</v>
      </c>
      <c r="BT32" t="str">
        <f>HYPERLINK("https%3A%2F%2Fwww.webofscience.com%2Fwos%2Fwoscc%2Ffull-record%2FWOS:000220438300002","View Full Record in Web of Science")</f>
        <v>View Full Record in Web of Science</v>
      </c>
    </row>
    <row r="33" spans="1:72" x14ac:dyDescent="0.15">
      <c r="A33" t="s">
        <v>72</v>
      </c>
      <c r="B33" t="s">
        <v>655</v>
      </c>
      <c r="C33" t="s">
        <v>74</v>
      </c>
      <c r="D33" t="s">
        <v>74</v>
      </c>
      <c r="E33" t="s">
        <v>74</v>
      </c>
      <c r="F33" t="s">
        <v>655</v>
      </c>
      <c r="G33" t="s">
        <v>74</v>
      </c>
      <c r="H33" t="s">
        <v>74</v>
      </c>
      <c r="I33" t="s">
        <v>656</v>
      </c>
      <c r="J33" t="s">
        <v>657</v>
      </c>
      <c r="K33" t="s">
        <v>74</v>
      </c>
      <c r="L33" t="s">
        <v>74</v>
      </c>
      <c r="M33" t="s">
        <v>77</v>
      </c>
      <c r="N33" t="s">
        <v>78</v>
      </c>
      <c r="O33" t="s">
        <v>74</v>
      </c>
      <c r="P33" t="s">
        <v>74</v>
      </c>
      <c r="Q33" t="s">
        <v>74</v>
      </c>
      <c r="R33" t="s">
        <v>74</v>
      </c>
      <c r="S33" t="s">
        <v>74</v>
      </c>
      <c r="T33" t="s">
        <v>658</v>
      </c>
      <c r="U33" t="s">
        <v>659</v>
      </c>
      <c r="V33" t="s">
        <v>660</v>
      </c>
      <c r="W33" t="s">
        <v>661</v>
      </c>
      <c r="X33" t="s">
        <v>662</v>
      </c>
      <c r="Y33" t="s">
        <v>663</v>
      </c>
      <c r="Z33" t="s">
        <v>664</v>
      </c>
      <c r="AA33" t="s">
        <v>665</v>
      </c>
      <c r="AB33" t="s">
        <v>74</v>
      </c>
      <c r="AC33" t="s">
        <v>74</v>
      </c>
      <c r="AD33" t="s">
        <v>74</v>
      </c>
      <c r="AE33" t="s">
        <v>74</v>
      </c>
      <c r="AF33" t="s">
        <v>74</v>
      </c>
      <c r="AG33">
        <v>46</v>
      </c>
      <c r="AH33">
        <v>15</v>
      </c>
      <c r="AI33">
        <v>16</v>
      </c>
      <c r="AJ33">
        <v>1</v>
      </c>
      <c r="AK33">
        <v>19</v>
      </c>
      <c r="AL33" t="s">
        <v>528</v>
      </c>
      <c r="AM33" t="s">
        <v>529</v>
      </c>
      <c r="AN33" t="s">
        <v>530</v>
      </c>
      <c r="AO33" t="s">
        <v>666</v>
      </c>
      <c r="AP33" t="s">
        <v>667</v>
      </c>
      <c r="AQ33" t="s">
        <v>74</v>
      </c>
      <c r="AR33" t="s">
        <v>668</v>
      </c>
      <c r="AS33" t="s">
        <v>669</v>
      </c>
      <c r="AT33" t="s">
        <v>670</v>
      </c>
      <c r="AU33">
        <v>2004</v>
      </c>
      <c r="AV33">
        <v>204</v>
      </c>
      <c r="AW33" t="s">
        <v>536</v>
      </c>
      <c r="AX33" t="s">
        <v>74</v>
      </c>
      <c r="AY33" t="s">
        <v>74</v>
      </c>
      <c r="AZ33" t="s">
        <v>74</v>
      </c>
      <c r="BA33" t="s">
        <v>74</v>
      </c>
      <c r="BB33">
        <v>125</v>
      </c>
      <c r="BC33">
        <v>143</v>
      </c>
      <c r="BD33" t="s">
        <v>74</v>
      </c>
      <c r="BE33" t="s">
        <v>671</v>
      </c>
      <c r="BF33" t="str">
        <f>HYPERLINK("http://dx.doi.org/10.1016/j.chemgeo.2003.11.016","http://dx.doi.org/10.1016/j.chemgeo.2003.11.016")</f>
        <v>http://dx.doi.org/10.1016/j.chemgeo.2003.11.016</v>
      </c>
      <c r="BG33" t="s">
        <v>74</v>
      </c>
      <c r="BH33" t="s">
        <v>74</v>
      </c>
      <c r="BI33">
        <v>19</v>
      </c>
      <c r="BJ33" t="s">
        <v>262</v>
      </c>
      <c r="BK33" t="s">
        <v>96</v>
      </c>
      <c r="BL33" t="s">
        <v>262</v>
      </c>
      <c r="BM33" t="s">
        <v>672</v>
      </c>
      <c r="BN33" t="s">
        <v>74</v>
      </c>
      <c r="BO33" t="s">
        <v>74</v>
      </c>
      <c r="BP33" t="s">
        <v>74</v>
      </c>
      <c r="BQ33" t="s">
        <v>74</v>
      </c>
      <c r="BR33" t="s">
        <v>99</v>
      </c>
      <c r="BS33" t="s">
        <v>673</v>
      </c>
      <c r="BT33" t="str">
        <f>HYPERLINK("https%3A%2F%2Fwww.webofscience.com%2Fwos%2Fwoscc%2Ffull-record%2FWOS:000220022600007","View Full Record in Web of Science")</f>
        <v>View Full Record in Web of Science</v>
      </c>
    </row>
    <row r="34" spans="1:72" x14ac:dyDescent="0.15">
      <c r="A34" t="s">
        <v>72</v>
      </c>
      <c r="B34" t="s">
        <v>674</v>
      </c>
      <c r="C34" t="s">
        <v>74</v>
      </c>
      <c r="D34" t="s">
        <v>74</v>
      </c>
      <c r="E34" t="s">
        <v>74</v>
      </c>
      <c r="F34" t="s">
        <v>674</v>
      </c>
      <c r="G34" t="s">
        <v>74</v>
      </c>
      <c r="H34" t="s">
        <v>74</v>
      </c>
      <c r="I34" t="s">
        <v>675</v>
      </c>
      <c r="J34" t="s">
        <v>676</v>
      </c>
      <c r="K34" t="s">
        <v>74</v>
      </c>
      <c r="L34" t="s">
        <v>74</v>
      </c>
      <c r="M34" t="s">
        <v>77</v>
      </c>
      <c r="N34" t="s">
        <v>78</v>
      </c>
      <c r="O34" t="s">
        <v>74</v>
      </c>
      <c r="P34" t="s">
        <v>74</v>
      </c>
      <c r="Q34" t="s">
        <v>74</v>
      </c>
      <c r="R34" t="s">
        <v>74</v>
      </c>
      <c r="S34" t="s">
        <v>74</v>
      </c>
      <c r="T34" t="s">
        <v>677</v>
      </c>
      <c r="U34" t="s">
        <v>678</v>
      </c>
      <c r="V34" t="s">
        <v>679</v>
      </c>
      <c r="W34" t="s">
        <v>680</v>
      </c>
      <c r="X34" t="s">
        <v>681</v>
      </c>
      <c r="Y34" t="s">
        <v>682</v>
      </c>
      <c r="Z34" t="s">
        <v>683</v>
      </c>
      <c r="AA34" t="s">
        <v>74</v>
      </c>
      <c r="AB34" t="s">
        <v>684</v>
      </c>
      <c r="AC34" t="s">
        <v>74</v>
      </c>
      <c r="AD34" t="s">
        <v>74</v>
      </c>
      <c r="AE34" t="s">
        <v>74</v>
      </c>
      <c r="AF34" t="s">
        <v>74</v>
      </c>
      <c r="AG34">
        <v>51</v>
      </c>
      <c r="AH34">
        <v>16</v>
      </c>
      <c r="AI34">
        <v>18</v>
      </c>
      <c r="AJ34">
        <v>0</v>
      </c>
      <c r="AK34">
        <v>5</v>
      </c>
      <c r="AL34" t="s">
        <v>685</v>
      </c>
      <c r="AM34" t="s">
        <v>529</v>
      </c>
      <c r="AN34" t="s">
        <v>686</v>
      </c>
      <c r="AO34" t="s">
        <v>687</v>
      </c>
      <c r="AP34" t="s">
        <v>688</v>
      </c>
      <c r="AQ34" t="s">
        <v>74</v>
      </c>
      <c r="AR34" t="s">
        <v>689</v>
      </c>
      <c r="AS34" t="s">
        <v>690</v>
      </c>
      <c r="AT34" t="s">
        <v>670</v>
      </c>
      <c r="AU34">
        <v>2004</v>
      </c>
      <c r="AV34">
        <v>141</v>
      </c>
      <c r="AW34">
        <v>3</v>
      </c>
      <c r="AX34" t="s">
        <v>74</v>
      </c>
      <c r="AY34" t="s">
        <v>74</v>
      </c>
      <c r="AZ34" t="s">
        <v>74</v>
      </c>
      <c r="BA34" t="s">
        <v>74</v>
      </c>
      <c r="BB34">
        <v>167</v>
      </c>
      <c r="BC34">
        <v>181</v>
      </c>
      <c r="BD34" t="s">
        <v>74</v>
      </c>
      <c r="BE34" t="s">
        <v>691</v>
      </c>
      <c r="BF34" t="str">
        <f>HYPERLINK("http://dx.doi.org/10.1016/j.pepi.2003.11.011","http://dx.doi.org/10.1016/j.pepi.2003.11.011")</f>
        <v>http://dx.doi.org/10.1016/j.pepi.2003.11.011</v>
      </c>
      <c r="BG34" t="s">
        <v>74</v>
      </c>
      <c r="BH34" t="s">
        <v>74</v>
      </c>
      <c r="BI34">
        <v>15</v>
      </c>
      <c r="BJ34" t="s">
        <v>262</v>
      </c>
      <c r="BK34" t="s">
        <v>96</v>
      </c>
      <c r="BL34" t="s">
        <v>262</v>
      </c>
      <c r="BM34" t="s">
        <v>692</v>
      </c>
      <c r="BN34" t="s">
        <v>74</v>
      </c>
      <c r="BO34" t="s">
        <v>74</v>
      </c>
      <c r="BP34" t="s">
        <v>74</v>
      </c>
      <c r="BQ34" t="s">
        <v>74</v>
      </c>
      <c r="BR34" t="s">
        <v>99</v>
      </c>
      <c r="BS34" t="s">
        <v>693</v>
      </c>
      <c r="BT34" t="str">
        <f>HYPERLINK("https%3A%2F%2Fwww.webofscience.com%2Fwos%2Fwoscc%2Ffull-record%2FWOS:000220445500003","View Full Record in Web of Science")</f>
        <v>View Full Record in Web of Science</v>
      </c>
    </row>
    <row r="35" spans="1:72" x14ac:dyDescent="0.15">
      <c r="A35" t="s">
        <v>72</v>
      </c>
      <c r="B35" t="s">
        <v>694</v>
      </c>
      <c r="C35" t="s">
        <v>74</v>
      </c>
      <c r="D35" t="s">
        <v>74</v>
      </c>
      <c r="E35" t="s">
        <v>74</v>
      </c>
      <c r="F35" t="s">
        <v>694</v>
      </c>
      <c r="G35" t="s">
        <v>74</v>
      </c>
      <c r="H35" t="s">
        <v>74</v>
      </c>
      <c r="I35" t="s">
        <v>695</v>
      </c>
      <c r="J35" t="s">
        <v>696</v>
      </c>
      <c r="K35" t="s">
        <v>74</v>
      </c>
      <c r="L35" t="s">
        <v>74</v>
      </c>
      <c r="M35" t="s">
        <v>77</v>
      </c>
      <c r="N35" t="s">
        <v>78</v>
      </c>
      <c r="O35" t="s">
        <v>74</v>
      </c>
      <c r="P35" t="s">
        <v>74</v>
      </c>
      <c r="Q35" t="s">
        <v>74</v>
      </c>
      <c r="R35" t="s">
        <v>74</v>
      </c>
      <c r="S35" t="s">
        <v>74</v>
      </c>
      <c r="T35" t="s">
        <v>697</v>
      </c>
      <c r="U35" t="s">
        <v>698</v>
      </c>
      <c r="V35" t="s">
        <v>699</v>
      </c>
      <c r="W35" t="s">
        <v>700</v>
      </c>
      <c r="X35" t="s">
        <v>701</v>
      </c>
      <c r="Y35" t="s">
        <v>702</v>
      </c>
      <c r="Z35" t="s">
        <v>703</v>
      </c>
      <c r="AA35" t="s">
        <v>74</v>
      </c>
      <c r="AB35" t="s">
        <v>704</v>
      </c>
      <c r="AC35" t="s">
        <v>74</v>
      </c>
      <c r="AD35" t="s">
        <v>74</v>
      </c>
      <c r="AE35" t="s">
        <v>74</v>
      </c>
      <c r="AF35" t="s">
        <v>74</v>
      </c>
      <c r="AG35">
        <v>56</v>
      </c>
      <c r="AH35">
        <v>31</v>
      </c>
      <c r="AI35">
        <v>39</v>
      </c>
      <c r="AJ35">
        <v>0</v>
      </c>
      <c r="AK35">
        <v>5</v>
      </c>
      <c r="AL35" t="s">
        <v>685</v>
      </c>
      <c r="AM35" t="s">
        <v>529</v>
      </c>
      <c r="AN35" t="s">
        <v>686</v>
      </c>
      <c r="AO35" t="s">
        <v>705</v>
      </c>
      <c r="AP35" t="s">
        <v>706</v>
      </c>
      <c r="AQ35" t="s">
        <v>74</v>
      </c>
      <c r="AR35" t="s">
        <v>707</v>
      </c>
      <c r="AS35" t="s">
        <v>708</v>
      </c>
      <c r="AT35" t="s">
        <v>709</v>
      </c>
      <c r="AU35">
        <v>2004</v>
      </c>
      <c r="AV35">
        <v>165</v>
      </c>
      <c r="AW35" t="s">
        <v>710</v>
      </c>
      <c r="AX35" t="s">
        <v>74</v>
      </c>
      <c r="AY35" t="s">
        <v>74</v>
      </c>
      <c r="AZ35" t="s">
        <v>74</v>
      </c>
      <c r="BA35" t="s">
        <v>74</v>
      </c>
      <c r="BB35">
        <v>343</v>
      </c>
      <c r="BC35">
        <v>353</v>
      </c>
      <c r="BD35" t="s">
        <v>74</v>
      </c>
      <c r="BE35" t="s">
        <v>711</v>
      </c>
      <c r="BF35" t="str">
        <f>HYPERLINK("http://dx.doi.org/10.1016/j.sedgeo.2003.11.020","http://dx.doi.org/10.1016/j.sedgeo.2003.11.020")</f>
        <v>http://dx.doi.org/10.1016/j.sedgeo.2003.11.020</v>
      </c>
      <c r="BG35" t="s">
        <v>74</v>
      </c>
      <c r="BH35" t="s">
        <v>74</v>
      </c>
      <c r="BI35">
        <v>11</v>
      </c>
      <c r="BJ35" t="s">
        <v>561</v>
      </c>
      <c r="BK35" t="s">
        <v>96</v>
      </c>
      <c r="BL35" t="s">
        <v>561</v>
      </c>
      <c r="BM35" t="s">
        <v>712</v>
      </c>
      <c r="BN35" t="s">
        <v>74</v>
      </c>
      <c r="BO35" t="s">
        <v>74</v>
      </c>
      <c r="BP35" t="s">
        <v>74</v>
      </c>
      <c r="BQ35" t="s">
        <v>74</v>
      </c>
      <c r="BR35" t="s">
        <v>99</v>
      </c>
      <c r="BS35" t="s">
        <v>713</v>
      </c>
      <c r="BT35" t="str">
        <f>HYPERLINK("https%3A%2F%2Fwww.webofscience.com%2Fwos%2Fwoscc%2Ffull-record%2FWOS:000220394700009","View Full Record in Web of Science")</f>
        <v>View Full Record in Web of Science</v>
      </c>
    </row>
    <row r="36" spans="1:72" x14ac:dyDescent="0.15">
      <c r="A36" t="s">
        <v>72</v>
      </c>
      <c r="B36" t="s">
        <v>714</v>
      </c>
      <c r="C36" t="s">
        <v>74</v>
      </c>
      <c r="D36" t="s">
        <v>74</v>
      </c>
      <c r="E36" t="s">
        <v>74</v>
      </c>
      <c r="F36" t="s">
        <v>714</v>
      </c>
      <c r="G36" t="s">
        <v>74</v>
      </c>
      <c r="H36" t="s">
        <v>74</v>
      </c>
      <c r="I36" t="s">
        <v>715</v>
      </c>
      <c r="J36" t="s">
        <v>545</v>
      </c>
      <c r="K36" t="s">
        <v>74</v>
      </c>
      <c r="L36" t="s">
        <v>74</v>
      </c>
      <c r="M36" t="s">
        <v>77</v>
      </c>
      <c r="N36" t="s">
        <v>78</v>
      </c>
      <c r="O36" t="s">
        <v>74</v>
      </c>
      <c r="P36" t="s">
        <v>74</v>
      </c>
      <c r="Q36" t="s">
        <v>74</v>
      </c>
      <c r="R36" t="s">
        <v>74</v>
      </c>
      <c r="S36" t="s">
        <v>74</v>
      </c>
      <c r="T36" t="s">
        <v>74</v>
      </c>
      <c r="U36" t="s">
        <v>716</v>
      </c>
      <c r="V36" t="s">
        <v>717</v>
      </c>
      <c r="W36" t="s">
        <v>81</v>
      </c>
      <c r="X36" t="s">
        <v>82</v>
      </c>
      <c r="Y36" t="s">
        <v>718</v>
      </c>
      <c r="Z36" t="s">
        <v>719</v>
      </c>
      <c r="AA36" t="s">
        <v>74</v>
      </c>
      <c r="AB36" t="s">
        <v>74</v>
      </c>
      <c r="AC36" t="s">
        <v>74</v>
      </c>
      <c r="AD36" t="s">
        <v>74</v>
      </c>
      <c r="AE36" t="s">
        <v>74</v>
      </c>
      <c r="AF36" t="s">
        <v>74</v>
      </c>
      <c r="AG36">
        <v>15</v>
      </c>
      <c r="AH36">
        <v>23</v>
      </c>
      <c r="AI36">
        <v>25</v>
      </c>
      <c r="AJ36">
        <v>0</v>
      </c>
      <c r="AK36">
        <v>7</v>
      </c>
      <c r="AL36" t="s">
        <v>363</v>
      </c>
      <c r="AM36" t="s">
        <v>364</v>
      </c>
      <c r="AN36" t="s">
        <v>365</v>
      </c>
      <c r="AO36" t="s">
        <v>553</v>
      </c>
      <c r="AP36" t="s">
        <v>554</v>
      </c>
      <c r="AQ36" t="s">
        <v>74</v>
      </c>
      <c r="AR36" t="s">
        <v>555</v>
      </c>
      <c r="AS36" t="s">
        <v>556</v>
      </c>
      <c r="AT36" t="s">
        <v>720</v>
      </c>
      <c r="AU36">
        <v>2004</v>
      </c>
      <c r="AV36">
        <v>31</v>
      </c>
      <c r="AW36">
        <v>5</v>
      </c>
      <c r="AX36" t="s">
        <v>74</v>
      </c>
      <c r="AY36" t="s">
        <v>74</v>
      </c>
      <c r="AZ36" t="s">
        <v>74</v>
      </c>
      <c r="BA36" t="s">
        <v>74</v>
      </c>
      <c r="BB36" t="s">
        <v>74</v>
      </c>
      <c r="BC36" t="s">
        <v>74</v>
      </c>
      <c r="BD36" t="s">
        <v>721</v>
      </c>
      <c r="BE36" t="s">
        <v>722</v>
      </c>
      <c r="BF36" t="str">
        <f>HYPERLINK("http://dx.doi.org/10.1029/2003GL018667","http://dx.doi.org/10.1029/2003GL018667")</f>
        <v>http://dx.doi.org/10.1029/2003GL018667</v>
      </c>
      <c r="BG36" t="s">
        <v>74</v>
      </c>
      <c r="BH36" t="s">
        <v>74</v>
      </c>
      <c r="BI36">
        <v>4</v>
      </c>
      <c r="BJ36" t="s">
        <v>560</v>
      </c>
      <c r="BK36" t="s">
        <v>96</v>
      </c>
      <c r="BL36" t="s">
        <v>561</v>
      </c>
      <c r="BM36" t="s">
        <v>723</v>
      </c>
      <c r="BN36" t="s">
        <v>74</v>
      </c>
      <c r="BO36" t="s">
        <v>541</v>
      </c>
      <c r="BP36" t="s">
        <v>74</v>
      </c>
      <c r="BQ36" t="s">
        <v>74</v>
      </c>
      <c r="BR36" t="s">
        <v>99</v>
      </c>
      <c r="BS36" t="s">
        <v>724</v>
      </c>
      <c r="BT36" t="str">
        <f>HYPERLINK("https%3A%2F%2Fwww.webofscience.com%2Fwos%2Fwoscc%2Ffull-record%2FWOS:000220432800002","View Full Record in Web of Science")</f>
        <v>View Full Record in Web of Science</v>
      </c>
    </row>
    <row r="37" spans="1:72" x14ac:dyDescent="0.15">
      <c r="A37" t="s">
        <v>72</v>
      </c>
      <c r="B37" t="s">
        <v>725</v>
      </c>
      <c r="C37" t="s">
        <v>74</v>
      </c>
      <c r="D37" t="s">
        <v>74</v>
      </c>
      <c r="E37" t="s">
        <v>74</v>
      </c>
      <c r="F37" t="s">
        <v>725</v>
      </c>
      <c r="G37" t="s">
        <v>74</v>
      </c>
      <c r="H37" t="s">
        <v>74</v>
      </c>
      <c r="I37" t="s">
        <v>726</v>
      </c>
      <c r="J37" t="s">
        <v>727</v>
      </c>
      <c r="K37" t="s">
        <v>74</v>
      </c>
      <c r="L37" t="s">
        <v>74</v>
      </c>
      <c r="M37" t="s">
        <v>77</v>
      </c>
      <c r="N37" t="s">
        <v>268</v>
      </c>
      <c r="O37" t="s">
        <v>74</v>
      </c>
      <c r="P37" t="s">
        <v>74</v>
      </c>
      <c r="Q37" t="s">
        <v>74</v>
      </c>
      <c r="R37" t="s">
        <v>74</v>
      </c>
      <c r="S37" t="s">
        <v>74</v>
      </c>
      <c r="T37" t="s">
        <v>728</v>
      </c>
      <c r="U37" t="s">
        <v>729</v>
      </c>
      <c r="V37" t="s">
        <v>730</v>
      </c>
      <c r="W37" t="s">
        <v>731</v>
      </c>
      <c r="X37" t="s">
        <v>732</v>
      </c>
      <c r="Y37" t="s">
        <v>733</v>
      </c>
      <c r="Z37" t="s">
        <v>734</v>
      </c>
      <c r="AA37" t="s">
        <v>735</v>
      </c>
      <c r="AB37" t="s">
        <v>736</v>
      </c>
      <c r="AC37" t="s">
        <v>74</v>
      </c>
      <c r="AD37" t="s">
        <v>74</v>
      </c>
      <c r="AE37" t="s">
        <v>74</v>
      </c>
      <c r="AF37" t="s">
        <v>74</v>
      </c>
      <c r="AG37">
        <v>46</v>
      </c>
      <c r="AH37">
        <v>244</v>
      </c>
      <c r="AI37">
        <v>280</v>
      </c>
      <c r="AJ37">
        <v>4</v>
      </c>
      <c r="AK37">
        <v>76</v>
      </c>
      <c r="AL37" t="s">
        <v>277</v>
      </c>
      <c r="AM37" t="s">
        <v>214</v>
      </c>
      <c r="AN37" t="s">
        <v>278</v>
      </c>
      <c r="AO37" t="s">
        <v>737</v>
      </c>
      <c r="AP37" t="s">
        <v>738</v>
      </c>
      <c r="AQ37" t="s">
        <v>74</v>
      </c>
      <c r="AR37" t="s">
        <v>739</v>
      </c>
      <c r="AS37" t="s">
        <v>740</v>
      </c>
      <c r="AT37" t="s">
        <v>741</v>
      </c>
      <c r="AU37">
        <v>2004</v>
      </c>
      <c r="AV37">
        <v>232</v>
      </c>
      <c r="AW37">
        <v>1</v>
      </c>
      <c r="AX37" t="s">
        <v>74</v>
      </c>
      <c r="AY37" t="s">
        <v>74</v>
      </c>
      <c r="AZ37" t="s">
        <v>74</v>
      </c>
      <c r="BA37" t="s">
        <v>74</v>
      </c>
      <c r="BB37">
        <v>1</v>
      </c>
      <c r="BC37">
        <v>6</v>
      </c>
      <c r="BD37" t="s">
        <v>74</v>
      </c>
      <c r="BE37" t="s">
        <v>742</v>
      </c>
      <c r="BF37" t="str">
        <f>HYPERLINK("http://dx.doi.org/10.1016/S0378-1097(04)00041-2","http://dx.doi.org/10.1016/S0378-1097(04)00041-2")</f>
        <v>http://dx.doi.org/10.1016/S0378-1097(04)00041-2</v>
      </c>
      <c r="BG37" t="s">
        <v>74</v>
      </c>
      <c r="BH37" t="s">
        <v>74</v>
      </c>
      <c r="BI37">
        <v>6</v>
      </c>
      <c r="BJ37" t="s">
        <v>743</v>
      </c>
      <c r="BK37" t="s">
        <v>96</v>
      </c>
      <c r="BL37" t="s">
        <v>743</v>
      </c>
      <c r="BM37" t="s">
        <v>744</v>
      </c>
      <c r="BN37">
        <v>15061140</v>
      </c>
      <c r="BO37" t="s">
        <v>541</v>
      </c>
      <c r="BP37" t="s">
        <v>74</v>
      </c>
      <c r="BQ37" t="s">
        <v>74</v>
      </c>
      <c r="BR37" t="s">
        <v>99</v>
      </c>
      <c r="BS37" t="s">
        <v>745</v>
      </c>
      <c r="BT37" t="str">
        <f>HYPERLINK("https%3A%2F%2Fwww.webofscience.com%2Fwos%2Fwoscc%2Ffull-record%2FWOS:000220346700001","View Full Record in Web of Science")</f>
        <v>View Full Record in Web of Science</v>
      </c>
    </row>
    <row r="38" spans="1:72" x14ac:dyDescent="0.15">
      <c r="A38" t="s">
        <v>72</v>
      </c>
      <c r="B38" t="s">
        <v>746</v>
      </c>
      <c r="C38" t="s">
        <v>74</v>
      </c>
      <c r="D38" t="s">
        <v>74</v>
      </c>
      <c r="E38" t="s">
        <v>74</v>
      </c>
      <c r="F38" t="s">
        <v>746</v>
      </c>
      <c r="G38" t="s">
        <v>74</v>
      </c>
      <c r="H38" t="s">
        <v>74</v>
      </c>
      <c r="I38" t="s">
        <v>747</v>
      </c>
      <c r="J38" t="s">
        <v>748</v>
      </c>
      <c r="K38" t="s">
        <v>74</v>
      </c>
      <c r="L38" t="s">
        <v>74</v>
      </c>
      <c r="M38" t="s">
        <v>77</v>
      </c>
      <c r="N38" t="s">
        <v>78</v>
      </c>
      <c r="O38" t="s">
        <v>74</v>
      </c>
      <c r="P38" t="s">
        <v>74</v>
      </c>
      <c r="Q38" t="s">
        <v>74</v>
      </c>
      <c r="R38" t="s">
        <v>74</v>
      </c>
      <c r="S38" t="s">
        <v>74</v>
      </c>
      <c r="T38" t="s">
        <v>749</v>
      </c>
      <c r="U38" t="s">
        <v>74</v>
      </c>
      <c r="V38" t="s">
        <v>750</v>
      </c>
      <c r="W38" t="s">
        <v>751</v>
      </c>
      <c r="X38" t="s">
        <v>752</v>
      </c>
      <c r="Y38" t="s">
        <v>753</v>
      </c>
      <c r="Z38" t="s">
        <v>754</v>
      </c>
      <c r="AA38" t="s">
        <v>74</v>
      </c>
      <c r="AB38" t="s">
        <v>74</v>
      </c>
      <c r="AC38" t="s">
        <v>74</v>
      </c>
      <c r="AD38" t="s">
        <v>74</v>
      </c>
      <c r="AE38" t="s">
        <v>74</v>
      </c>
      <c r="AF38" t="s">
        <v>74</v>
      </c>
      <c r="AG38">
        <v>7</v>
      </c>
      <c r="AH38">
        <v>7</v>
      </c>
      <c r="AI38">
        <v>8</v>
      </c>
      <c r="AJ38">
        <v>0</v>
      </c>
      <c r="AK38">
        <v>1</v>
      </c>
      <c r="AL38" t="s">
        <v>755</v>
      </c>
      <c r="AM38" t="s">
        <v>756</v>
      </c>
      <c r="AN38" t="s">
        <v>757</v>
      </c>
      <c r="AO38" t="s">
        <v>758</v>
      </c>
      <c r="AP38" t="s">
        <v>759</v>
      </c>
      <c r="AQ38" t="s">
        <v>74</v>
      </c>
      <c r="AR38" t="s">
        <v>748</v>
      </c>
      <c r="AS38" t="s">
        <v>760</v>
      </c>
      <c r="AT38" t="s">
        <v>741</v>
      </c>
      <c r="AU38">
        <v>2004</v>
      </c>
      <c r="AV38" t="s">
        <v>74</v>
      </c>
      <c r="AW38">
        <v>459</v>
      </c>
      <c r="AX38" t="s">
        <v>74</v>
      </c>
      <c r="AY38" t="s">
        <v>74</v>
      </c>
      <c r="AZ38" t="s">
        <v>74</v>
      </c>
      <c r="BA38" t="s">
        <v>74</v>
      </c>
      <c r="BB38">
        <v>1</v>
      </c>
      <c r="BC38">
        <v>20</v>
      </c>
      <c r="BD38" t="s">
        <v>74</v>
      </c>
      <c r="BE38" t="s">
        <v>74</v>
      </c>
      <c r="BF38" t="s">
        <v>74</v>
      </c>
      <c r="BG38" t="s">
        <v>74</v>
      </c>
      <c r="BH38" t="s">
        <v>74</v>
      </c>
      <c r="BI38">
        <v>20</v>
      </c>
      <c r="BJ38" t="s">
        <v>331</v>
      </c>
      <c r="BK38" t="s">
        <v>96</v>
      </c>
      <c r="BL38" t="s">
        <v>331</v>
      </c>
      <c r="BM38" t="s">
        <v>761</v>
      </c>
      <c r="BN38" t="s">
        <v>74</v>
      </c>
      <c r="BO38" t="s">
        <v>74</v>
      </c>
      <c r="BP38" t="s">
        <v>74</v>
      </c>
      <c r="BQ38" t="s">
        <v>74</v>
      </c>
      <c r="BR38" t="s">
        <v>99</v>
      </c>
      <c r="BS38" t="s">
        <v>762</v>
      </c>
      <c r="BT38" t="str">
        <f>HYPERLINK("https%3A%2F%2Fwww.webofscience.com%2Fwos%2Fwoscc%2Ffull-record%2FWOS:000224860800001","View Full Record in Web of Science")</f>
        <v>View Full Record in Web of Science</v>
      </c>
    </row>
    <row r="39" spans="1:72" x14ac:dyDescent="0.15">
      <c r="A39" t="s">
        <v>72</v>
      </c>
      <c r="B39" t="s">
        <v>763</v>
      </c>
      <c r="C39" t="s">
        <v>74</v>
      </c>
      <c r="D39" t="s">
        <v>74</v>
      </c>
      <c r="E39" t="s">
        <v>74</v>
      </c>
      <c r="F39" t="s">
        <v>763</v>
      </c>
      <c r="G39" t="s">
        <v>74</v>
      </c>
      <c r="H39" t="s">
        <v>74</v>
      </c>
      <c r="I39" t="s">
        <v>764</v>
      </c>
      <c r="J39" t="s">
        <v>765</v>
      </c>
      <c r="K39" t="s">
        <v>74</v>
      </c>
      <c r="L39" t="s">
        <v>74</v>
      </c>
      <c r="M39" t="s">
        <v>77</v>
      </c>
      <c r="N39" t="s">
        <v>78</v>
      </c>
      <c r="O39" t="s">
        <v>74</v>
      </c>
      <c r="P39" t="s">
        <v>74</v>
      </c>
      <c r="Q39" t="s">
        <v>74</v>
      </c>
      <c r="R39" t="s">
        <v>74</v>
      </c>
      <c r="S39" t="s">
        <v>74</v>
      </c>
      <c r="T39" t="s">
        <v>74</v>
      </c>
      <c r="U39" t="s">
        <v>766</v>
      </c>
      <c r="V39" t="s">
        <v>767</v>
      </c>
      <c r="W39" t="s">
        <v>81</v>
      </c>
      <c r="X39" t="s">
        <v>82</v>
      </c>
      <c r="Y39" t="s">
        <v>83</v>
      </c>
      <c r="Z39" t="s">
        <v>74</v>
      </c>
      <c r="AA39" t="s">
        <v>768</v>
      </c>
      <c r="AB39" t="s">
        <v>769</v>
      </c>
      <c r="AC39" t="s">
        <v>74</v>
      </c>
      <c r="AD39" t="s">
        <v>74</v>
      </c>
      <c r="AE39" t="s">
        <v>74</v>
      </c>
      <c r="AF39" t="s">
        <v>74</v>
      </c>
      <c r="AG39">
        <v>41</v>
      </c>
      <c r="AH39">
        <v>20</v>
      </c>
      <c r="AI39">
        <v>20</v>
      </c>
      <c r="AJ39">
        <v>0</v>
      </c>
      <c r="AK39">
        <v>5</v>
      </c>
      <c r="AL39" t="s">
        <v>136</v>
      </c>
      <c r="AM39" t="s">
        <v>87</v>
      </c>
      <c r="AN39" t="s">
        <v>137</v>
      </c>
      <c r="AO39" t="s">
        <v>770</v>
      </c>
      <c r="AP39" t="s">
        <v>771</v>
      </c>
      <c r="AQ39" t="s">
        <v>74</v>
      </c>
      <c r="AR39" t="s">
        <v>772</v>
      </c>
      <c r="AS39" t="s">
        <v>773</v>
      </c>
      <c r="AT39" t="s">
        <v>774</v>
      </c>
      <c r="AU39">
        <v>2004</v>
      </c>
      <c r="AV39">
        <v>502</v>
      </c>
      <c r="AW39" t="s">
        <v>74</v>
      </c>
      <c r="AX39" t="s">
        <v>74</v>
      </c>
      <c r="AY39" t="s">
        <v>74</v>
      </c>
      <c r="AZ39" t="s">
        <v>74</v>
      </c>
      <c r="BA39" t="s">
        <v>74</v>
      </c>
      <c r="BB39">
        <v>17</v>
      </c>
      <c r="BC39">
        <v>40</v>
      </c>
      <c r="BD39" t="s">
        <v>74</v>
      </c>
      <c r="BE39" t="s">
        <v>775</v>
      </c>
      <c r="BF39" t="str">
        <f>HYPERLINK("http://dx.doi.org/10.1017/S0022112003007390","http://dx.doi.org/10.1017/S0022112003007390")</f>
        <v>http://dx.doi.org/10.1017/S0022112003007390</v>
      </c>
      <c r="BG39" t="s">
        <v>74</v>
      </c>
      <c r="BH39" t="s">
        <v>74</v>
      </c>
      <c r="BI39">
        <v>24</v>
      </c>
      <c r="BJ39" t="s">
        <v>776</v>
      </c>
      <c r="BK39" t="s">
        <v>96</v>
      </c>
      <c r="BL39" t="s">
        <v>777</v>
      </c>
      <c r="BM39" t="s">
        <v>778</v>
      </c>
      <c r="BN39" t="s">
        <v>74</v>
      </c>
      <c r="BO39" t="s">
        <v>74</v>
      </c>
      <c r="BP39" t="s">
        <v>74</v>
      </c>
      <c r="BQ39" t="s">
        <v>74</v>
      </c>
      <c r="BR39" t="s">
        <v>99</v>
      </c>
      <c r="BS39" t="s">
        <v>779</v>
      </c>
      <c r="BT39" t="str">
        <f>HYPERLINK("https%3A%2F%2Fwww.webofscience.com%2Fwos%2Fwoscc%2Ffull-record%2FWOS:000220643600002","View Full Record in Web of Science")</f>
        <v>View Full Record in Web of Science</v>
      </c>
    </row>
    <row r="40" spans="1:72" x14ac:dyDescent="0.15">
      <c r="A40" t="s">
        <v>72</v>
      </c>
      <c r="B40" t="s">
        <v>763</v>
      </c>
      <c r="C40" t="s">
        <v>74</v>
      </c>
      <c r="D40" t="s">
        <v>74</v>
      </c>
      <c r="E40" t="s">
        <v>74</v>
      </c>
      <c r="F40" t="s">
        <v>763</v>
      </c>
      <c r="G40" t="s">
        <v>74</v>
      </c>
      <c r="H40" t="s">
        <v>74</v>
      </c>
      <c r="I40" t="s">
        <v>780</v>
      </c>
      <c r="J40" t="s">
        <v>781</v>
      </c>
      <c r="K40" t="s">
        <v>74</v>
      </c>
      <c r="L40" t="s">
        <v>74</v>
      </c>
      <c r="M40" t="s">
        <v>77</v>
      </c>
      <c r="N40" t="s">
        <v>78</v>
      </c>
      <c r="O40" t="s">
        <v>74</v>
      </c>
      <c r="P40" t="s">
        <v>74</v>
      </c>
      <c r="Q40" t="s">
        <v>74</v>
      </c>
      <c r="R40" t="s">
        <v>74</v>
      </c>
      <c r="S40" t="s">
        <v>74</v>
      </c>
      <c r="T40" t="s">
        <v>782</v>
      </c>
      <c r="U40" t="s">
        <v>783</v>
      </c>
      <c r="V40" t="s">
        <v>784</v>
      </c>
      <c r="W40" t="s">
        <v>785</v>
      </c>
      <c r="X40" t="s">
        <v>82</v>
      </c>
      <c r="Y40" t="s">
        <v>786</v>
      </c>
      <c r="Z40" t="s">
        <v>787</v>
      </c>
      <c r="AA40" t="s">
        <v>768</v>
      </c>
      <c r="AB40" t="s">
        <v>769</v>
      </c>
      <c r="AC40" t="s">
        <v>74</v>
      </c>
      <c r="AD40" t="s">
        <v>74</v>
      </c>
      <c r="AE40" t="s">
        <v>74</v>
      </c>
      <c r="AF40" t="s">
        <v>74</v>
      </c>
      <c r="AG40">
        <v>29</v>
      </c>
      <c r="AH40">
        <v>134</v>
      </c>
      <c r="AI40">
        <v>146</v>
      </c>
      <c r="AJ40">
        <v>0</v>
      </c>
      <c r="AK40">
        <v>5</v>
      </c>
      <c r="AL40" t="s">
        <v>363</v>
      </c>
      <c r="AM40" t="s">
        <v>364</v>
      </c>
      <c r="AN40" t="s">
        <v>365</v>
      </c>
      <c r="AO40" t="s">
        <v>788</v>
      </c>
      <c r="AP40" t="s">
        <v>789</v>
      </c>
      <c r="AQ40" t="s">
        <v>74</v>
      </c>
      <c r="AR40" t="s">
        <v>790</v>
      </c>
      <c r="AS40" t="s">
        <v>791</v>
      </c>
      <c r="AT40" t="s">
        <v>774</v>
      </c>
      <c r="AU40">
        <v>2004</v>
      </c>
      <c r="AV40">
        <v>109</v>
      </c>
      <c r="AW40" t="s">
        <v>792</v>
      </c>
      <c r="AX40" t="s">
        <v>74</v>
      </c>
      <c r="AY40" t="s">
        <v>74</v>
      </c>
      <c r="AZ40" t="s">
        <v>74</v>
      </c>
      <c r="BA40" t="s">
        <v>74</v>
      </c>
      <c r="BB40" t="s">
        <v>74</v>
      </c>
      <c r="BC40" t="s">
        <v>74</v>
      </c>
      <c r="BD40" t="s">
        <v>793</v>
      </c>
      <c r="BE40" t="s">
        <v>794</v>
      </c>
      <c r="BF40" t="str">
        <f>HYPERLINK("http://dx.doi.org/10.1029/2003JF000065","http://dx.doi.org/10.1029/2003JF000065")</f>
        <v>http://dx.doi.org/10.1029/2003JF000065</v>
      </c>
      <c r="BG40" t="s">
        <v>74</v>
      </c>
      <c r="BH40" t="s">
        <v>74</v>
      </c>
      <c r="BI40">
        <v>15</v>
      </c>
      <c r="BJ40" t="s">
        <v>560</v>
      </c>
      <c r="BK40" t="s">
        <v>96</v>
      </c>
      <c r="BL40" t="s">
        <v>561</v>
      </c>
      <c r="BM40" t="s">
        <v>795</v>
      </c>
      <c r="BN40" t="s">
        <v>74</v>
      </c>
      <c r="BO40" t="s">
        <v>541</v>
      </c>
      <c r="BP40" t="s">
        <v>74</v>
      </c>
      <c r="BQ40" t="s">
        <v>74</v>
      </c>
      <c r="BR40" t="s">
        <v>99</v>
      </c>
      <c r="BS40" t="s">
        <v>796</v>
      </c>
      <c r="BT40" t="str">
        <f>HYPERLINK("https%3A%2F%2Fwww.webofscience.com%2Fwos%2Fwoscc%2Ffull-record%2FWOS:000224568500001","View Full Record in Web of Science")</f>
        <v>View Full Record in Web of Science</v>
      </c>
    </row>
    <row r="41" spans="1:72" x14ac:dyDescent="0.15">
      <c r="A41" t="s">
        <v>72</v>
      </c>
      <c r="B41" t="s">
        <v>797</v>
      </c>
      <c r="C41" t="s">
        <v>74</v>
      </c>
      <c r="D41" t="s">
        <v>74</v>
      </c>
      <c r="E41" t="s">
        <v>74</v>
      </c>
      <c r="F41" t="s">
        <v>797</v>
      </c>
      <c r="G41" t="s">
        <v>74</v>
      </c>
      <c r="H41" t="s">
        <v>74</v>
      </c>
      <c r="I41" t="s">
        <v>798</v>
      </c>
      <c r="J41" t="s">
        <v>799</v>
      </c>
      <c r="K41" t="s">
        <v>74</v>
      </c>
      <c r="L41" t="s">
        <v>74</v>
      </c>
      <c r="M41" t="s">
        <v>77</v>
      </c>
      <c r="N41" t="s">
        <v>78</v>
      </c>
      <c r="O41" t="s">
        <v>74</v>
      </c>
      <c r="P41" t="s">
        <v>74</v>
      </c>
      <c r="Q41" t="s">
        <v>74</v>
      </c>
      <c r="R41" t="s">
        <v>74</v>
      </c>
      <c r="S41" t="s">
        <v>74</v>
      </c>
      <c r="T41" t="s">
        <v>800</v>
      </c>
      <c r="U41" t="s">
        <v>801</v>
      </c>
      <c r="V41" t="s">
        <v>802</v>
      </c>
      <c r="W41" t="s">
        <v>803</v>
      </c>
      <c r="X41" t="s">
        <v>804</v>
      </c>
      <c r="Y41" t="s">
        <v>805</v>
      </c>
      <c r="Z41" t="s">
        <v>806</v>
      </c>
      <c r="AA41" t="s">
        <v>807</v>
      </c>
      <c r="AB41" t="s">
        <v>808</v>
      </c>
      <c r="AC41" t="s">
        <v>74</v>
      </c>
      <c r="AD41" t="s">
        <v>74</v>
      </c>
      <c r="AE41" t="s">
        <v>74</v>
      </c>
      <c r="AF41" t="s">
        <v>74</v>
      </c>
      <c r="AG41">
        <v>93</v>
      </c>
      <c r="AH41">
        <v>68</v>
      </c>
      <c r="AI41">
        <v>72</v>
      </c>
      <c r="AJ41">
        <v>3</v>
      </c>
      <c r="AK41">
        <v>34</v>
      </c>
      <c r="AL41" t="s">
        <v>363</v>
      </c>
      <c r="AM41" t="s">
        <v>364</v>
      </c>
      <c r="AN41" t="s">
        <v>365</v>
      </c>
      <c r="AO41" t="s">
        <v>809</v>
      </c>
      <c r="AP41" t="s">
        <v>810</v>
      </c>
      <c r="AQ41" t="s">
        <v>74</v>
      </c>
      <c r="AR41" t="s">
        <v>799</v>
      </c>
      <c r="AS41" t="s">
        <v>811</v>
      </c>
      <c r="AT41" t="s">
        <v>774</v>
      </c>
      <c r="AU41">
        <v>2004</v>
      </c>
      <c r="AV41">
        <v>19</v>
      </c>
      <c r="AW41">
        <v>1</v>
      </c>
      <c r="AX41" t="s">
        <v>74</v>
      </c>
      <c r="AY41" t="s">
        <v>74</v>
      </c>
      <c r="AZ41" t="s">
        <v>74</v>
      </c>
      <c r="BA41" t="s">
        <v>74</v>
      </c>
      <c r="BB41" t="s">
        <v>74</v>
      </c>
      <c r="BC41" t="s">
        <v>74</v>
      </c>
      <c r="BD41" t="s">
        <v>812</v>
      </c>
      <c r="BE41" t="s">
        <v>813</v>
      </c>
      <c r="BF41" t="str">
        <f>HYPERLINK("http://dx.doi.org/10.1029/2003PA000923","http://dx.doi.org/10.1029/2003PA000923")</f>
        <v>http://dx.doi.org/10.1029/2003PA000923</v>
      </c>
      <c r="BG41" t="s">
        <v>74</v>
      </c>
      <c r="BH41" t="s">
        <v>74</v>
      </c>
      <c r="BI41">
        <v>14</v>
      </c>
      <c r="BJ41" t="s">
        <v>814</v>
      </c>
      <c r="BK41" t="s">
        <v>96</v>
      </c>
      <c r="BL41" t="s">
        <v>815</v>
      </c>
      <c r="BM41" t="s">
        <v>816</v>
      </c>
      <c r="BN41" t="s">
        <v>74</v>
      </c>
      <c r="BO41" t="s">
        <v>817</v>
      </c>
      <c r="BP41" t="s">
        <v>74</v>
      </c>
      <c r="BQ41" t="s">
        <v>74</v>
      </c>
      <c r="BR41" t="s">
        <v>99</v>
      </c>
      <c r="BS41" t="s">
        <v>818</v>
      </c>
      <c r="BT41" t="str">
        <f>HYPERLINK("https%3A%2F%2Fwww.webofscience.com%2Fwos%2Fwoscc%2Ffull-record%2FWOS:000220434500001","View Full Record in Web of Science")</f>
        <v>View Full Record in Web of Science</v>
      </c>
    </row>
    <row r="42" spans="1:72" x14ac:dyDescent="0.15">
      <c r="A42" t="s">
        <v>72</v>
      </c>
      <c r="B42" t="s">
        <v>819</v>
      </c>
      <c r="C42" t="s">
        <v>74</v>
      </c>
      <c r="D42" t="s">
        <v>74</v>
      </c>
      <c r="E42" t="s">
        <v>74</v>
      </c>
      <c r="F42" t="s">
        <v>819</v>
      </c>
      <c r="G42" t="s">
        <v>74</v>
      </c>
      <c r="H42" t="s">
        <v>74</v>
      </c>
      <c r="I42" t="s">
        <v>820</v>
      </c>
      <c r="J42" t="s">
        <v>821</v>
      </c>
      <c r="K42" t="s">
        <v>74</v>
      </c>
      <c r="L42" t="s">
        <v>74</v>
      </c>
      <c r="M42" t="s">
        <v>77</v>
      </c>
      <c r="N42" t="s">
        <v>822</v>
      </c>
      <c r="O42" t="s">
        <v>74</v>
      </c>
      <c r="P42" t="s">
        <v>74</v>
      </c>
      <c r="Q42" t="s">
        <v>74</v>
      </c>
      <c r="R42" t="s">
        <v>74</v>
      </c>
      <c r="S42" t="s">
        <v>74</v>
      </c>
      <c r="T42" t="s">
        <v>74</v>
      </c>
      <c r="U42" t="s">
        <v>74</v>
      </c>
      <c r="V42" t="s">
        <v>74</v>
      </c>
      <c r="W42" t="s">
        <v>74</v>
      </c>
      <c r="X42" t="s">
        <v>74</v>
      </c>
      <c r="Y42" t="s">
        <v>74</v>
      </c>
      <c r="Z42" t="s">
        <v>74</v>
      </c>
      <c r="AA42" t="s">
        <v>74</v>
      </c>
      <c r="AB42" t="s">
        <v>74</v>
      </c>
      <c r="AC42" t="s">
        <v>74</v>
      </c>
      <c r="AD42" t="s">
        <v>74</v>
      </c>
      <c r="AE42" t="s">
        <v>74</v>
      </c>
      <c r="AF42" t="s">
        <v>74</v>
      </c>
      <c r="AG42">
        <v>0</v>
      </c>
      <c r="AH42">
        <v>1</v>
      </c>
      <c r="AI42">
        <v>1</v>
      </c>
      <c r="AJ42">
        <v>0</v>
      </c>
      <c r="AK42">
        <v>3</v>
      </c>
      <c r="AL42" t="s">
        <v>823</v>
      </c>
      <c r="AM42" t="s">
        <v>824</v>
      </c>
      <c r="AN42" t="s">
        <v>825</v>
      </c>
      <c r="AO42" t="s">
        <v>826</v>
      </c>
      <c r="AP42" t="s">
        <v>827</v>
      </c>
      <c r="AQ42" t="s">
        <v>74</v>
      </c>
      <c r="AR42" t="s">
        <v>828</v>
      </c>
      <c r="AS42" t="s">
        <v>829</v>
      </c>
      <c r="AT42" t="s">
        <v>830</v>
      </c>
      <c r="AU42">
        <v>2004</v>
      </c>
      <c r="AV42">
        <v>14</v>
      </c>
      <c r="AW42">
        <v>5</v>
      </c>
      <c r="AX42" t="s">
        <v>74</v>
      </c>
      <c r="AY42" t="s">
        <v>74</v>
      </c>
      <c r="AZ42" t="s">
        <v>74</v>
      </c>
      <c r="BA42" t="s">
        <v>74</v>
      </c>
      <c r="BB42" t="s">
        <v>831</v>
      </c>
      <c r="BC42" t="s">
        <v>832</v>
      </c>
      <c r="BD42" t="s">
        <v>74</v>
      </c>
      <c r="BE42" t="s">
        <v>833</v>
      </c>
      <c r="BF42" t="str">
        <f>HYPERLINK("http://dx.doi.org/10.1016/j.cub.2004.02.006","http://dx.doi.org/10.1016/j.cub.2004.02.006")</f>
        <v>http://dx.doi.org/10.1016/j.cub.2004.02.006</v>
      </c>
      <c r="BG42" t="s">
        <v>74</v>
      </c>
      <c r="BH42" t="s">
        <v>74</v>
      </c>
      <c r="BI42">
        <v>2</v>
      </c>
      <c r="BJ42" t="s">
        <v>499</v>
      </c>
      <c r="BK42" t="s">
        <v>96</v>
      </c>
      <c r="BL42" t="s">
        <v>500</v>
      </c>
      <c r="BM42" t="s">
        <v>834</v>
      </c>
      <c r="BN42">
        <v>15028222</v>
      </c>
      <c r="BO42" t="s">
        <v>306</v>
      </c>
      <c r="BP42" t="s">
        <v>74</v>
      </c>
      <c r="BQ42" t="s">
        <v>74</v>
      </c>
      <c r="BR42" t="s">
        <v>99</v>
      </c>
      <c r="BS42" t="s">
        <v>835</v>
      </c>
      <c r="BT42" t="str">
        <f>HYPERLINK("https%3A%2F%2Fwww.webofscience.com%2Fwos%2Fwoscc%2Ffull-record%2FWOS:000220222600001","View Full Record in Web of Science")</f>
        <v>View Full Record in Web of Science</v>
      </c>
    </row>
    <row r="43" spans="1:72" x14ac:dyDescent="0.15">
      <c r="A43" t="s">
        <v>72</v>
      </c>
      <c r="B43" t="s">
        <v>836</v>
      </c>
      <c r="C43" t="s">
        <v>74</v>
      </c>
      <c r="D43" t="s">
        <v>74</v>
      </c>
      <c r="E43" t="s">
        <v>74</v>
      </c>
      <c r="F43" t="s">
        <v>836</v>
      </c>
      <c r="G43" t="s">
        <v>74</v>
      </c>
      <c r="H43" t="s">
        <v>74</v>
      </c>
      <c r="I43" t="s">
        <v>837</v>
      </c>
      <c r="J43" t="s">
        <v>838</v>
      </c>
      <c r="K43" t="s">
        <v>74</v>
      </c>
      <c r="L43" t="s">
        <v>74</v>
      </c>
      <c r="M43" t="s">
        <v>77</v>
      </c>
      <c r="N43" t="s">
        <v>78</v>
      </c>
      <c r="O43" t="s">
        <v>74</v>
      </c>
      <c r="P43" t="s">
        <v>74</v>
      </c>
      <c r="Q43" t="s">
        <v>74</v>
      </c>
      <c r="R43" t="s">
        <v>74</v>
      </c>
      <c r="S43" t="s">
        <v>74</v>
      </c>
      <c r="T43" t="s">
        <v>839</v>
      </c>
      <c r="U43" t="s">
        <v>840</v>
      </c>
      <c r="V43" t="s">
        <v>841</v>
      </c>
      <c r="W43" t="s">
        <v>842</v>
      </c>
      <c r="X43" t="s">
        <v>843</v>
      </c>
      <c r="Y43" t="s">
        <v>844</v>
      </c>
      <c r="Z43" t="s">
        <v>845</v>
      </c>
      <c r="AA43" t="s">
        <v>846</v>
      </c>
      <c r="AB43" t="s">
        <v>847</v>
      </c>
      <c r="AC43" t="s">
        <v>848</v>
      </c>
      <c r="AD43" t="s">
        <v>849</v>
      </c>
      <c r="AE43" t="s">
        <v>74</v>
      </c>
      <c r="AF43" t="s">
        <v>74</v>
      </c>
      <c r="AG43">
        <v>59</v>
      </c>
      <c r="AH43">
        <v>71</v>
      </c>
      <c r="AI43">
        <v>74</v>
      </c>
      <c r="AJ43">
        <v>1</v>
      </c>
      <c r="AK43">
        <v>13</v>
      </c>
      <c r="AL43" t="s">
        <v>850</v>
      </c>
      <c r="AM43" t="s">
        <v>851</v>
      </c>
      <c r="AN43" t="s">
        <v>852</v>
      </c>
      <c r="AO43" t="s">
        <v>853</v>
      </c>
      <c r="AP43" t="s">
        <v>854</v>
      </c>
      <c r="AQ43" t="s">
        <v>74</v>
      </c>
      <c r="AR43" t="s">
        <v>838</v>
      </c>
      <c r="AS43" t="s">
        <v>855</v>
      </c>
      <c r="AT43" t="s">
        <v>856</v>
      </c>
      <c r="AU43">
        <v>2004</v>
      </c>
      <c r="AV43">
        <v>5</v>
      </c>
      <c r="AW43">
        <v>3</v>
      </c>
      <c r="AX43" t="s">
        <v>74</v>
      </c>
      <c r="AY43" t="s">
        <v>74</v>
      </c>
      <c r="AZ43" t="s">
        <v>74</v>
      </c>
      <c r="BA43" t="s">
        <v>74</v>
      </c>
      <c r="BB43">
        <v>280</v>
      </c>
      <c r="BC43">
        <v>290</v>
      </c>
      <c r="BD43" t="s">
        <v>74</v>
      </c>
      <c r="BE43" t="s">
        <v>857</v>
      </c>
      <c r="BF43" t="str">
        <f>HYPERLINK("http://dx.doi.org/10.1002/cbic.200300627","http://dx.doi.org/10.1002/cbic.200300627")</f>
        <v>http://dx.doi.org/10.1002/cbic.200300627</v>
      </c>
      <c r="BG43" t="s">
        <v>74</v>
      </c>
      <c r="BH43" t="s">
        <v>74</v>
      </c>
      <c r="BI43">
        <v>11</v>
      </c>
      <c r="BJ43" t="s">
        <v>858</v>
      </c>
      <c r="BK43" t="s">
        <v>96</v>
      </c>
      <c r="BL43" t="s">
        <v>859</v>
      </c>
      <c r="BM43" t="s">
        <v>860</v>
      </c>
      <c r="BN43">
        <v>14997520</v>
      </c>
      <c r="BO43" t="s">
        <v>74</v>
      </c>
      <c r="BP43" t="s">
        <v>74</v>
      </c>
      <c r="BQ43" t="s">
        <v>74</v>
      </c>
      <c r="BR43" t="s">
        <v>99</v>
      </c>
      <c r="BS43" t="s">
        <v>861</v>
      </c>
      <c r="BT43" t="str">
        <f>HYPERLINK("https%3A%2F%2Fwww.webofscience.com%2Fwos%2Fwoscc%2Ffull-record%2FWOS:000220196800008","View Full Record in Web of Science")</f>
        <v>View Full Record in Web of Science</v>
      </c>
    </row>
    <row r="44" spans="1:72" x14ac:dyDescent="0.15">
      <c r="A44" t="s">
        <v>72</v>
      </c>
      <c r="B44" t="s">
        <v>862</v>
      </c>
      <c r="C44" t="s">
        <v>74</v>
      </c>
      <c r="D44" t="s">
        <v>74</v>
      </c>
      <c r="E44" t="s">
        <v>74</v>
      </c>
      <c r="F44" t="s">
        <v>862</v>
      </c>
      <c r="G44" t="s">
        <v>74</v>
      </c>
      <c r="H44" t="s">
        <v>74</v>
      </c>
      <c r="I44" t="s">
        <v>863</v>
      </c>
      <c r="J44" t="s">
        <v>460</v>
      </c>
      <c r="K44" t="s">
        <v>74</v>
      </c>
      <c r="L44" t="s">
        <v>74</v>
      </c>
      <c r="M44" t="s">
        <v>77</v>
      </c>
      <c r="N44" t="s">
        <v>78</v>
      </c>
      <c r="O44" t="s">
        <v>74</v>
      </c>
      <c r="P44" t="s">
        <v>74</v>
      </c>
      <c r="Q44" t="s">
        <v>74</v>
      </c>
      <c r="R44" t="s">
        <v>74</v>
      </c>
      <c r="S44" t="s">
        <v>74</v>
      </c>
      <c r="T44" t="s">
        <v>864</v>
      </c>
      <c r="U44" t="s">
        <v>865</v>
      </c>
      <c r="V44" t="s">
        <v>866</v>
      </c>
      <c r="W44" t="s">
        <v>867</v>
      </c>
      <c r="X44" t="s">
        <v>868</v>
      </c>
      <c r="Y44" t="s">
        <v>869</v>
      </c>
      <c r="Z44" t="s">
        <v>870</v>
      </c>
      <c r="AA44" t="s">
        <v>871</v>
      </c>
      <c r="AB44" t="s">
        <v>872</v>
      </c>
      <c r="AC44" t="s">
        <v>74</v>
      </c>
      <c r="AD44" t="s">
        <v>74</v>
      </c>
      <c r="AE44" t="s">
        <v>74</v>
      </c>
      <c r="AF44" t="s">
        <v>74</v>
      </c>
      <c r="AG44">
        <v>30</v>
      </c>
      <c r="AH44">
        <v>9</v>
      </c>
      <c r="AI44">
        <v>10</v>
      </c>
      <c r="AJ44">
        <v>0</v>
      </c>
      <c r="AK44">
        <v>5</v>
      </c>
      <c r="AL44" t="s">
        <v>363</v>
      </c>
      <c r="AM44" t="s">
        <v>364</v>
      </c>
      <c r="AN44" t="s">
        <v>365</v>
      </c>
      <c r="AO44" t="s">
        <v>470</v>
      </c>
      <c r="AP44" t="s">
        <v>471</v>
      </c>
      <c r="AQ44" t="s">
        <v>74</v>
      </c>
      <c r="AR44" t="s">
        <v>472</v>
      </c>
      <c r="AS44" t="s">
        <v>473</v>
      </c>
      <c r="AT44" t="s">
        <v>873</v>
      </c>
      <c r="AU44">
        <v>2004</v>
      </c>
      <c r="AV44">
        <v>109</v>
      </c>
      <c r="AW44" t="s">
        <v>474</v>
      </c>
      <c r="AX44" t="s">
        <v>74</v>
      </c>
      <c r="AY44" t="s">
        <v>74</v>
      </c>
      <c r="AZ44" t="s">
        <v>74</v>
      </c>
      <c r="BA44" t="s">
        <v>74</v>
      </c>
      <c r="BB44" t="s">
        <v>74</v>
      </c>
      <c r="BC44" t="s">
        <v>74</v>
      </c>
      <c r="BD44" t="s">
        <v>874</v>
      </c>
      <c r="BE44" t="s">
        <v>875</v>
      </c>
      <c r="BF44" t="str">
        <f>HYPERLINK("http://dx.doi.org/10.1029/2003JC002060","http://dx.doi.org/10.1029/2003JC002060")</f>
        <v>http://dx.doi.org/10.1029/2003JC002060</v>
      </c>
      <c r="BG44" t="s">
        <v>74</v>
      </c>
      <c r="BH44" t="s">
        <v>74</v>
      </c>
      <c r="BI44">
        <v>12</v>
      </c>
      <c r="BJ44" t="s">
        <v>477</v>
      </c>
      <c r="BK44" t="s">
        <v>96</v>
      </c>
      <c r="BL44" t="s">
        <v>477</v>
      </c>
      <c r="BM44" t="s">
        <v>876</v>
      </c>
      <c r="BN44" t="s">
        <v>74</v>
      </c>
      <c r="BO44" t="s">
        <v>541</v>
      </c>
      <c r="BP44" t="s">
        <v>74</v>
      </c>
      <c r="BQ44" t="s">
        <v>74</v>
      </c>
      <c r="BR44" t="s">
        <v>99</v>
      </c>
      <c r="BS44" t="s">
        <v>877</v>
      </c>
      <c r="BT44" t="str">
        <f>HYPERLINK("https%3A%2F%2Fwww.webofscience.com%2Fwos%2Fwoscc%2Ffull-record%2FWOS:000220225600007","View Full Record in Web of Science")</f>
        <v>View Full Record in Web of Science</v>
      </c>
    </row>
    <row r="45" spans="1:72" x14ac:dyDescent="0.15">
      <c r="A45" t="s">
        <v>72</v>
      </c>
      <c r="B45" t="s">
        <v>878</v>
      </c>
      <c r="C45" t="s">
        <v>74</v>
      </c>
      <c r="D45" t="s">
        <v>74</v>
      </c>
      <c r="E45" t="s">
        <v>74</v>
      </c>
      <c r="F45" t="s">
        <v>878</v>
      </c>
      <c r="G45" t="s">
        <v>74</v>
      </c>
      <c r="H45" t="s">
        <v>74</v>
      </c>
      <c r="I45" t="s">
        <v>879</v>
      </c>
      <c r="J45" t="s">
        <v>419</v>
      </c>
      <c r="K45" t="s">
        <v>74</v>
      </c>
      <c r="L45" t="s">
        <v>74</v>
      </c>
      <c r="M45" t="s">
        <v>77</v>
      </c>
      <c r="N45" t="s">
        <v>78</v>
      </c>
      <c r="O45" t="s">
        <v>74</v>
      </c>
      <c r="P45" t="s">
        <v>74</v>
      </c>
      <c r="Q45" t="s">
        <v>74</v>
      </c>
      <c r="R45" t="s">
        <v>74</v>
      </c>
      <c r="S45" t="s">
        <v>74</v>
      </c>
      <c r="T45" t="s">
        <v>880</v>
      </c>
      <c r="U45" t="s">
        <v>881</v>
      </c>
      <c r="V45" t="s">
        <v>882</v>
      </c>
      <c r="W45" t="s">
        <v>883</v>
      </c>
      <c r="X45" t="s">
        <v>884</v>
      </c>
      <c r="Y45" t="s">
        <v>885</v>
      </c>
      <c r="Z45" t="s">
        <v>886</v>
      </c>
      <c r="AA45" t="s">
        <v>887</v>
      </c>
      <c r="AB45" t="s">
        <v>888</v>
      </c>
      <c r="AC45" t="s">
        <v>74</v>
      </c>
      <c r="AD45" t="s">
        <v>74</v>
      </c>
      <c r="AE45" t="s">
        <v>74</v>
      </c>
      <c r="AF45" t="s">
        <v>74</v>
      </c>
      <c r="AG45">
        <v>61</v>
      </c>
      <c r="AH45">
        <v>24</v>
      </c>
      <c r="AI45">
        <v>24</v>
      </c>
      <c r="AJ45">
        <v>0</v>
      </c>
      <c r="AK45">
        <v>8</v>
      </c>
      <c r="AL45" t="s">
        <v>363</v>
      </c>
      <c r="AM45" t="s">
        <v>364</v>
      </c>
      <c r="AN45" t="s">
        <v>365</v>
      </c>
      <c r="AO45" t="s">
        <v>429</v>
      </c>
      <c r="AP45" t="s">
        <v>430</v>
      </c>
      <c r="AQ45" t="s">
        <v>74</v>
      </c>
      <c r="AR45" t="s">
        <v>431</v>
      </c>
      <c r="AS45" t="s">
        <v>432</v>
      </c>
      <c r="AT45" t="s">
        <v>889</v>
      </c>
      <c r="AU45">
        <v>2004</v>
      </c>
      <c r="AV45">
        <v>109</v>
      </c>
      <c r="AW45" t="s">
        <v>890</v>
      </c>
      <c r="AX45" t="s">
        <v>74</v>
      </c>
      <c r="AY45" t="s">
        <v>74</v>
      </c>
      <c r="AZ45" t="s">
        <v>74</v>
      </c>
      <c r="BA45" t="s">
        <v>74</v>
      </c>
      <c r="BB45" t="s">
        <v>74</v>
      </c>
      <c r="BC45" t="s">
        <v>74</v>
      </c>
      <c r="BD45" t="s">
        <v>891</v>
      </c>
      <c r="BE45" t="s">
        <v>892</v>
      </c>
      <c r="BF45" t="str">
        <f>HYPERLINK("http://dx.doi.org/10.1029/2003JD004157","http://dx.doi.org/10.1029/2003JD004157")</f>
        <v>http://dx.doi.org/10.1029/2003JD004157</v>
      </c>
      <c r="BG45" t="s">
        <v>74</v>
      </c>
      <c r="BH45" t="s">
        <v>74</v>
      </c>
      <c r="BI45">
        <v>8</v>
      </c>
      <c r="BJ45" t="s">
        <v>186</v>
      </c>
      <c r="BK45" t="s">
        <v>96</v>
      </c>
      <c r="BL45" t="s">
        <v>186</v>
      </c>
      <c r="BM45" t="s">
        <v>893</v>
      </c>
      <c r="BN45" t="s">
        <v>74</v>
      </c>
      <c r="BO45" t="s">
        <v>894</v>
      </c>
      <c r="BP45" t="s">
        <v>74</v>
      </c>
      <c r="BQ45" t="s">
        <v>74</v>
      </c>
      <c r="BR45" t="s">
        <v>99</v>
      </c>
      <c r="BS45" t="s">
        <v>895</v>
      </c>
      <c r="BT45" t="str">
        <f>HYPERLINK("https%3A%2F%2Fwww.webofscience.com%2Fwos%2Fwoscc%2Ffull-record%2FWOS:000220224500001","View Full Record in Web of Science")</f>
        <v>View Full Record in Web of Science</v>
      </c>
    </row>
    <row r="46" spans="1:72" x14ac:dyDescent="0.15">
      <c r="A46" t="s">
        <v>72</v>
      </c>
      <c r="B46" t="s">
        <v>896</v>
      </c>
      <c r="C46" t="s">
        <v>74</v>
      </c>
      <c r="D46" t="s">
        <v>74</v>
      </c>
      <c r="E46" t="s">
        <v>74</v>
      </c>
      <c r="F46" t="s">
        <v>896</v>
      </c>
      <c r="G46" t="s">
        <v>74</v>
      </c>
      <c r="H46" t="s">
        <v>74</v>
      </c>
      <c r="I46" t="s">
        <v>897</v>
      </c>
      <c r="J46" t="s">
        <v>898</v>
      </c>
      <c r="K46" t="s">
        <v>74</v>
      </c>
      <c r="L46" t="s">
        <v>74</v>
      </c>
      <c r="M46" t="s">
        <v>77</v>
      </c>
      <c r="N46" t="s">
        <v>78</v>
      </c>
      <c r="O46" t="s">
        <v>74</v>
      </c>
      <c r="P46" t="s">
        <v>74</v>
      </c>
      <c r="Q46" t="s">
        <v>74</v>
      </c>
      <c r="R46" t="s">
        <v>74</v>
      </c>
      <c r="S46" t="s">
        <v>74</v>
      </c>
      <c r="T46" t="s">
        <v>899</v>
      </c>
      <c r="U46" t="s">
        <v>900</v>
      </c>
      <c r="V46" t="s">
        <v>901</v>
      </c>
      <c r="W46" t="s">
        <v>902</v>
      </c>
      <c r="X46" t="s">
        <v>903</v>
      </c>
      <c r="Y46" t="s">
        <v>904</v>
      </c>
      <c r="Z46" t="s">
        <v>905</v>
      </c>
      <c r="AA46" t="s">
        <v>74</v>
      </c>
      <c r="AB46" t="s">
        <v>74</v>
      </c>
      <c r="AC46" t="s">
        <v>74</v>
      </c>
      <c r="AD46" t="s">
        <v>74</v>
      </c>
      <c r="AE46" t="s">
        <v>74</v>
      </c>
      <c r="AF46" t="s">
        <v>74</v>
      </c>
      <c r="AG46">
        <v>29</v>
      </c>
      <c r="AH46">
        <v>4</v>
      </c>
      <c r="AI46">
        <v>5</v>
      </c>
      <c r="AJ46">
        <v>2</v>
      </c>
      <c r="AK46">
        <v>11</v>
      </c>
      <c r="AL46" t="s">
        <v>906</v>
      </c>
      <c r="AM46" t="s">
        <v>907</v>
      </c>
      <c r="AN46" t="s">
        <v>908</v>
      </c>
      <c r="AO46" t="s">
        <v>909</v>
      </c>
      <c r="AP46" t="s">
        <v>910</v>
      </c>
      <c r="AQ46" t="s">
        <v>74</v>
      </c>
      <c r="AR46" t="s">
        <v>911</v>
      </c>
      <c r="AS46" t="s">
        <v>912</v>
      </c>
      <c r="AT46" t="s">
        <v>913</v>
      </c>
      <c r="AU46">
        <v>2004</v>
      </c>
      <c r="AV46">
        <v>21</v>
      </c>
      <c r="AW46">
        <v>2</v>
      </c>
      <c r="AX46" t="s">
        <v>74</v>
      </c>
      <c r="AY46" t="s">
        <v>74</v>
      </c>
      <c r="AZ46" t="s">
        <v>74</v>
      </c>
      <c r="BA46" t="s">
        <v>74</v>
      </c>
      <c r="BB46">
        <v>204</v>
      </c>
      <c r="BC46">
        <v>210</v>
      </c>
      <c r="BD46" t="s">
        <v>74</v>
      </c>
      <c r="BE46" t="s">
        <v>914</v>
      </c>
      <c r="BF46" t="str">
        <f>HYPERLINK("http://dx.doi.org/10.1007/BF02915706","http://dx.doi.org/10.1007/BF02915706")</f>
        <v>http://dx.doi.org/10.1007/BF02915706</v>
      </c>
      <c r="BG46" t="s">
        <v>74</v>
      </c>
      <c r="BH46" t="s">
        <v>74</v>
      </c>
      <c r="BI46">
        <v>7</v>
      </c>
      <c r="BJ46" t="s">
        <v>186</v>
      </c>
      <c r="BK46" t="s">
        <v>96</v>
      </c>
      <c r="BL46" t="s">
        <v>186</v>
      </c>
      <c r="BM46" t="s">
        <v>915</v>
      </c>
      <c r="BN46" t="s">
        <v>74</v>
      </c>
      <c r="BO46" t="s">
        <v>74</v>
      </c>
      <c r="BP46" t="s">
        <v>74</v>
      </c>
      <c r="BQ46" t="s">
        <v>74</v>
      </c>
      <c r="BR46" t="s">
        <v>99</v>
      </c>
      <c r="BS46" t="s">
        <v>916</v>
      </c>
      <c r="BT46" t="str">
        <f>HYPERLINK("https%3A%2F%2Fwww.webofscience.com%2Fwos%2Fwoscc%2Ffull-record%2FWOS:000220792700006","View Full Record in Web of Science")</f>
        <v>View Full Record in Web of Science</v>
      </c>
    </row>
    <row r="47" spans="1:72" x14ac:dyDescent="0.15">
      <c r="A47" t="s">
        <v>72</v>
      </c>
      <c r="B47" t="s">
        <v>917</v>
      </c>
      <c r="C47" t="s">
        <v>74</v>
      </c>
      <c r="D47" t="s">
        <v>74</v>
      </c>
      <c r="E47" t="s">
        <v>74</v>
      </c>
      <c r="F47" t="s">
        <v>917</v>
      </c>
      <c r="G47" t="s">
        <v>74</v>
      </c>
      <c r="H47" t="s">
        <v>74</v>
      </c>
      <c r="I47" t="s">
        <v>918</v>
      </c>
      <c r="J47" t="s">
        <v>919</v>
      </c>
      <c r="K47" t="s">
        <v>74</v>
      </c>
      <c r="L47" t="s">
        <v>74</v>
      </c>
      <c r="M47" t="s">
        <v>77</v>
      </c>
      <c r="N47" t="s">
        <v>78</v>
      </c>
      <c r="O47" t="s">
        <v>74</v>
      </c>
      <c r="P47" t="s">
        <v>74</v>
      </c>
      <c r="Q47" t="s">
        <v>74</v>
      </c>
      <c r="R47" t="s">
        <v>74</v>
      </c>
      <c r="S47" t="s">
        <v>74</v>
      </c>
      <c r="T47" t="s">
        <v>920</v>
      </c>
      <c r="U47" t="s">
        <v>921</v>
      </c>
      <c r="V47" t="s">
        <v>922</v>
      </c>
      <c r="W47" t="s">
        <v>923</v>
      </c>
      <c r="X47" t="s">
        <v>924</v>
      </c>
      <c r="Y47" t="s">
        <v>925</v>
      </c>
      <c r="Z47" t="s">
        <v>926</v>
      </c>
      <c r="AA47" t="s">
        <v>927</v>
      </c>
      <c r="AB47" t="s">
        <v>928</v>
      </c>
      <c r="AC47" t="s">
        <v>74</v>
      </c>
      <c r="AD47" t="s">
        <v>74</v>
      </c>
      <c r="AE47" t="s">
        <v>74</v>
      </c>
      <c r="AF47" t="s">
        <v>74</v>
      </c>
      <c r="AG47">
        <v>23</v>
      </c>
      <c r="AH47">
        <v>22</v>
      </c>
      <c r="AI47">
        <v>22</v>
      </c>
      <c r="AJ47">
        <v>1</v>
      </c>
      <c r="AK47">
        <v>19</v>
      </c>
      <c r="AL47" t="s">
        <v>929</v>
      </c>
      <c r="AM47" t="s">
        <v>930</v>
      </c>
      <c r="AN47" t="s">
        <v>931</v>
      </c>
      <c r="AO47" t="s">
        <v>932</v>
      </c>
      <c r="AP47" t="s">
        <v>933</v>
      </c>
      <c r="AQ47" t="s">
        <v>74</v>
      </c>
      <c r="AR47" t="s">
        <v>934</v>
      </c>
      <c r="AS47" t="s">
        <v>935</v>
      </c>
      <c r="AT47" t="s">
        <v>913</v>
      </c>
      <c r="AU47">
        <v>2004</v>
      </c>
      <c r="AV47">
        <v>378</v>
      </c>
      <c r="AW47">
        <v>6</v>
      </c>
      <c r="AX47" t="s">
        <v>74</v>
      </c>
      <c r="AY47" t="s">
        <v>74</v>
      </c>
      <c r="AZ47" t="s">
        <v>74</v>
      </c>
      <c r="BA47" t="s">
        <v>74</v>
      </c>
      <c r="BB47">
        <v>1624</v>
      </c>
      <c r="BC47">
        <v>1629</v>
      </c>
      <c r="BD47" t="s">
        <v>74</v>
      </c>
      <c r="BE47" t="s">
        <v>936</v>
      </c>
      <c r="BF47" t="str">
        <f>HYPERLINK("http://dx.doi.org/10.1007/s00216-003-2472-2","http://dx.doi.org/10.1007/s00216-003-2472-2")</f>
        <v>http://dx.doi.org/10.1007/s00216-003-2472-2</v>
      </c>
      <c r="BG47" t="s">
        <v>74</v>
      </c>
      <c r="BH47" t="s">
        <v>74</v>
      </c>
      <c r="BI47">
        <v>6</v>
      </c>
      <c r="BJ47" t="s">
        <v>937</v>
      </c>
      <c r="BK47" t="s">
        <v>96</v>
      </c>
      <c r="BL47" t="s">
        <v>938</v>
      </c>
      <c r="BM47" t="s">
        <v>939</v>
      </c>
      <c r="BN47">
        <v>15214426</v>
      </c>
      <c r="BO47" t="s">
        <v>74</v>
      </c>
      <c r="BP47" t="s">
        <v>74</v>
      </c>
      <c r="BQ47" t="s">
        <v>74</v>
      </c>
      <c r="BR47" t="s">
        <v>99</v>
      </c>
      <c r="BS47" t="s">
        <v>940</v>
      </c>
      <c r="BT47" t="str">
        <f>HYPERLINK("https%3A%2F%2Fwww.webofscience.com%2Fwos%2Fwoscc%2Ffull-record%2FWOS:000220661800028","View Full Record in Web of Science")</f>
        <v>View Full Record in Web of Science</v>
      </c>
    </row>
    <row r="48" spans="1:72" x14ac:dyDescent="0.15">
      <c r="A48" t="s">
        <v>72</v>
      </c>
      <c r="B48" t="s">
        <v>941</v>
      </c>
      <c r="C48" t="s">
        <v>74</v>
      </c>
      <c r="D48" t="s">
        <v>74</v>
      </c>
      <c r="E48" t="s">
        <v>74</v>
      </c>
      <c r="F48" t="s">
        <v>941</v>
      </c>
      <c r="G48" t="s">
        <v>74</v>
      </c>
      <c r="H48" t="s">
        <v>74</v>
      </c>
      <c r="I48" t="s">
        <v>942</v>
      </c>
      <c r="J48" t="s">
        <v>943</v>
      </c>
      <c r="K48" t="s">
        <v>74</v>
      </c>
      <c r="L48" t="s">
        <v>74</v>
      </c>
      <c r="M48" t="s">
        <v>77</v>
      </c>
      <c r="N48" t="s">
        <v>822</v>
      </c>
      <c r="O48" t="s">
        <v>74</v>
      </c>
      <c r="P48" t="s">
        <v>74</v>
      </c>
      <c r="Q48" t="s">
        <v>74</v>
      </c>
      <c r="R48" t="s">
        <v>74</v>
      </c>
      <c r="S48" t="s">
        <v>74</v>
      </c>
      <c r="T48" t="s">
        <v>74</v>
      </c>
      <c r="U48" t="s">
        <v>74</v>
      </c>
      <c r="V48" t="s">
        <v>74</v>
      </c>
      <c r="W48" t="s">
        <v>74</v>
      </c>
      <c r="X48" t="s">
        <v>74</v>
      </c>
      <c r="Y48" t="s">
        <v>74</v>
      </c>
      <c r="Z48" t="s">
        <v>74</v>
      </c>
      <c r="AA48" t="s">
        <v>74</v>
      </c>
      <c r="AB48" t="s">
        <v>74</v>
      </c>
      <c r="AC48" t="s">
        <v>74</v>
      </c>
      <c r="AD48" t="s">
        <v>74</v>
      </c>
      <c r="AE48" t="s">
        <v>74</v>
      </c>
      <c r="AF48" t="s">
        <v>74</v>
      </c>
      <c r="AG48">
        <v>0</v>
      </c>
      <c r="AH48">
        <v>0</v>
      </c>
      <c r="AI48">
        <v>0</v>
      </c>
      <c r="AJ48">
        <v>0</v>
      </c>
      <c r="AK48">
        <v>1</v>
      </c>
      <c r="AL48" t="s">
        <v>136</v>
      </c>
      <c r="AM48" t="s">
        <v>87</v>
      </c>
      <c r="AN48" t="s">
        <v>163</v>
      </c>
      <c r="AO48" t="s">
        <v>944</v>
      </c>
      <c r="AP48" t="s">
        <v>74</v>
      </c>
      <c r="AQ48" t="s">
        <v>74</v>
      </c>
      <c r="AR48" t="s">
        <v>945</v>
      </c>
      <c r="AS48" t="s">
        <v>946</v>
      </c>
      <c r="AT48" t="s">
        <v>913</v>
      </c>
      <c r="AU48">
        <v>2004</v>
      </c>
      <c r="AV48">
        <v>16</v>
      </c>
      <c r="AW48">
        <v>1</v>
      </c>
      <c r="AX48" t="s">
        <v>74</v>
      </c>
      <c r="AY48" t="s">
        <v>74</v>
      </c>
      <c r="AZ48" t="s">
        <v>74</v>
      </c>
      <c r="BA48" t="s">
        <v>74</v>
      </c>
      <c r="BB48">
        <v>1</v>
      </c>
      <c r="BC48">
        <v>1</v>
      </c>
      <c r="BD48" t="s">
        <v>74</v>
      </c>
      <c r="BE48" t="s">
        <v>947</v>
      </c>
      <c r="BF48" t="str">
        <f>HYPERLINK("http://dx.doi.org/10.1017/S0954102004001737","http://dx.doi.org/10.1017/S0954102004001737")</f>
        <v>http://dx.doi.org/10.1017/S0954102004001737</v>
      </c>
      <c r="BG48" t="s">
        <v>74</v>
      </c>
      <c r="BH48" t="s">
        <v>74</v>
      </c>
      <c r="BI48">
        <v>1</v>
      </c>
      <c r="BJ48" t="s">
        <v>948</v>
      </c>
      <c r="BK48" t="s">
        <v>96</v>
      </c>
      <c r="BL48" t="s">
        <v>949</v>
      </c>
      <c r="BM48" t="s">
        <v>950</v>
      </c>
      <c r="BN48" t="s">
        <v>74</v>
      </c>
      <c r="BO48" t="s">
        <v>541</v>
      </c>
      <c r="BP48" t="s">
        <v>74</v>
      </c>
      <c r="BQ48" t="s">
        <v>74</v>
      </c>
      <c r="BR48" t="s">
        <v>99</v>
      </c>
      <c r="BS48" t="s">
        <v>951</v>
      </c>
      <c r="BT48" t="str">
        <f>HYPERLINK("https%3A%2F%2Fwww.webofscience.com%2Fwos%2Fwoscc%2Ffull-record%2FWOS:000220310700001","View Full Record in Web of Science")</f>
        <v>View Full Record in Web of Science</v>
      </c>
    </row>
    <row r="49" spans="1:72" x14ac:dyDescent="0.15">
      <c r="A49" t="s">
        <v>72</v>
      </c>
      <c r="B49" t="s">
        <v>952</v>
      </c>
      <c r="C49" t="s">
        <v>74</v>
      </c>
      <c r="D49" t="s">
        <v>74</v>
      </c>
      <c r="E49" t="s">
        <v>74</v>
      </c>
      <c r="F49" t="s">
        <v>952</v>
      </c>
      <c r="G49" t="s">
        <v>74</v>
      </c>
      <c r="H49" t="s">
        <v>74</v>
      </c>
      <c r="I49" t="s">
        <v>953</v>
      </c>
      <c r="J49" t="s">
        <v>943</v>
      </c>
      <c r="K49" t="s">
        <v>74</v>
      </c>
      <c r="L49" t="s">
        <v>74</v>
      </c>
      <c r="M49" t="s">
        <v>77</v>
      </c>
      <c r="N49" t="s">
        <v>822</v>
      </c>
      <c r="O49" t="s">
        <v>74</v>
      </c>
      <c r="P49" t="s">
        <v>74</v>
      </c>
      <c r="Q49" t="s">
        <v>74</v>
      </c>
      <c r="R49" t="s">
        <v>74</v>
      </c>
      <c r="S49" t="s">
        <v>74</v>
      </c>
      <c r="T49" t="s">
        <v>74</v>
      </c>
      <c r="U49" t="s">
        <v>74</v>
      </c>
      <c r="V49" t="s">
        <v>74</v>
      </c>
      <c r="W49" t="s">
        <v>74</v>
      </c>
      <c r="X49" t="s">
        <v>74</v>
      </c>
      <c r="Y49" t="s">
        <v>74</v>
      </c>
      <c r="Z49" t="s">
        <v>74</v>
      </c>
      <c r="AA49" t="s">
        <v>74</v>
      </c>
      <c r="AB49" t="s">
        <v>74</v>
      </c>
      <c r="AC49" t="s">
        <v>74</v>
      </c>
      <c r="AD49" t="s">
        <v>74</v>
      </c>
      <c r="AE49" t="s">
        <v>74</v>
      </c>
      <c r="AF49" t="s">
        <v>74</v>
      </c>
      <c r="AG49">
        <v>0</v>
      </c>
      <c r="AH49">
        <v>0</v>
      </c>
      <c r="AI49">
        <v>0</v>
      </c>
      <c r="AJ49">
        <v>0</v>
      </c>
      <c r="AK49">
        <v>1</v>
      </c>
      <c r="AL49" t="s">
        <v>136</v>
      </c>
      <c r="AM49" t="s">
        <v>87</v>
      </c>
      <c r="AN49" t="s">
        <v>163</v>
      </c>
      <c r="AO49" t="s">
        <v>944</v>
      </c>
      <c r="AP49" t="s">
        <v>74</v>
      </c>
      <c r="AQ49" t="s">
        <v>74</v>
      </c>
      <c r="AR49" t="s">
        <v>945</v>
      </c>
      <c r="AS49" t="s">
        <v>946</v>
      </c>
      <c r="AT49" t="s">
        <v>913</v>
      </c>
      <c r="AU49">
        <v>2004</v>
      </c>
      <c r="AV49">
        <v>16</v>
      </c>
      <c r="AW49">
        <v>1</v>
      </c>
      <c r="AX49" t="s">
        <v>74</v>
      </c>
      <c r="AY49" t="s">
        <v>74</v>
      </c>
      <c r="AZ49" t="s">
        <v>74</v>
      </c>
      <c r="BA49" t="s">
        <v>74</v>
      </c>
      <c r="BB49">
        <v>3</v>
      </c>
      <c r="BC49">
        <v>4</v>
      </c>
      <c r="BD49" t="s">
        <v>74</v>
      </c>
      <c r="BE49" t="s">
        <v>74</v>
      </c>
      <c r="BF49" t="s">
        <v>74</v>
      </c>
      <c r="BG49" t="s">
        <v>74</v>
      </c>
      <c r="BH49" t="s">
        <v>74</v>
      </c>
      <c r="BI49">
        <v>2</v>
      </c>
      <c r="BJ49" t="s">
        <v>948</v>
      </c>
      <c r="BK49" t="s">
        <v>96</v>
      </c>
      <c r="BL49" t="s">
        <v>949</v>
      </c>
      <c r="BM49" t="s">
        <v>950</v>
      </c>
      <c r="BN49" t="s">
        <v>74</v>
      </c>
      <c r="BO49" t="s">
        <v>74</v>
      </c>
      <c r="BP49" t="s">
        <v>74</v>
      </c>
      <c r="BQ49" t="s">
        <v>74</v>
      </c>
      <c r="BR49" t="s">
        <v>99</v>
      </c>
      <c r="BS49" t="s">
        <v>954</v>
      </c>
      <c r="BT49" t="str">
        <f>HYPERLINK("https%3A%2F%2Fwww.webofscience.com%2Fwos%2Fwoscc%2Ffull-record%2FWOS:000220310700002","View Full Record in Web of Science")</f>
        <v>View Full Record in Web of Science</v>
      </c>
    </row>
    <row r="50" spans="1:72" x14ac:dyDescent="0.15">
      <c r="A50" t="s">
        <v>72</v>
      </c>
      <c r="B50" t="s">
        <v>955</v>
      </c>
      <c r="C50" t="s">
        <v>74</v>
      </c>
      <c r="D50" t="s">
        <v>74</v>
      </c>
      <c r="E50" t="s">
        <v>74</v>
      </c>
      <c r="F50" t="s">
        <v>955</v>
      </c>
      <c r="G50" t="s">
        <v>74</v>
      </c>
      <c r="H50" t="s">
        <v>74</v>
      </c>
      <c r="I50" t="s">
        <v>956</v>
      </c>
      <c r="J50" t="s">
        <v>943</v>
      </c>
      <c r="K50" t="s">
        <v>74</v>
      </c>
      <c r="L50" t="s">
        <v>74</v>
      </c>
      <c r="M50" t="s">
        <v>77</v>
      </c>
      <c r="N50" t="s">
        <v>78</v>
      </c>
      <c r="O50" t="s">
        <v>74</v>
      </c>
      <c r="P50" t="s">
        <v>74</v>
      </c>
      <c r="Q50" t="s">
        <v>74</v>
      </c>
      <c r="R50" t="s">
        <v>74</v>
      </c>
      <c r="S50" t="s">
        <v>74</v>
      </c>
      <c r="T50" t="s">
        <v>957</v>
      </c>
      <c r="U50" t="s">
        <v>958</v>
      </c>
      <c r="V50" t="s">
        <v>959</v>
      </c>
      <c r="W50" t="s">
        <v>960</v>
      </c>
      <c r="X50" t="s">
        <v>961</v>
      </c>
      <c r="Y50" t="s">
        <v>962</v>
      </c>
      <c r="Z50" t="s">
        <v>963</v>
      </c>
      <c r="AA50" t="s">
        <v>964</v>
      </c>
      <c r="AB50" t="s">
        <v>74</v>
      </c>
      <c r="AC50" t="s">
        <v>74</v>
      </c>
      <c r="AD50" t="s">
        <v>74</v>
      </c>
      <c r="AE50" t="s">
        <v>74</v>
      </c>
      <c r="AF50" t="s">
        <v>74</v>
      </c>
      <c r="AG50">
        <v>43</v>
      </c>
      <c r="AH50">
        <v>10</v>
      </c>
      <c r="AI50">
        <v>10</v>
      </c>
      <c r="AJ50">
        <v>0</v>
      </c>
      <c r="AK50">
        <v>8</v>
      </c>
      <c r="AL50" t="s">
        <v>136</v>
      </c>
      <c r="AM50" t="s">
        <v>87</v>
      </c>
      <c r="AN50" t="s">
        <v>163</v>
      </c>
      <c r="AO50" t="s">
        <v>944</v>
      </c>
      <c r="AP50" t="s">
        <v>74</v>
      </c>
      <c r="AQ50" t="s">
        <v>74</v>
      </c>
      <c r="AR50" t="s">
        <v>945</v>
      </c>
      <c r="AS50" t="s">
        <v>946</v>
      </c>
      <c r="AT50" t="s">
        <v>913</v>
      </c>
      <c r="AU50">
        <v>2004</v>
      </c>
      <c r="AV50">
        <v>16</v>
      </c>
      <c r="AW50">
        <v>1</v>
      </c>
      <c r="AX50" t="s">
        <v>74</v>
      </c>
      <c r="AY50" t="s">
        <v>74</v>
      </c>
      <c r="AZ50" t="s">
        <v>74</v>
      </c>
      <c r="BA50" t="s">
        <v>74</v>
      </c>
      <c r="BB50">
        <v>5</v>
      </c>
      <c r="BC50">
        <v>10</v>
      </c>
      <c r="BD50" t="s">
        <v>74</v>
      </c>
      <c r="BE50" t="s">
        <v>965</v>
      </c>
      <c r="BF50" t="str">
        <f>HYPERLINK("http://dx.doi.org/10.1017/S0954102004001749","http://dx.doi.org/10.1017/S0954102004001749")</f>
        <v>http://dx.doi.org/10.1017/S0954102004001749</v>
      </c>
      <c r="BG50" t="s">
        <v>74</v>
      </c>
      <c r="BH50" t="s">
        <v>74</v>
      </c>
      <c r="BI50">
        <v>6</v>
      </c>
      <c r="BJ50" t="s">
        <v>948</v>
      </c>
      <c r="BK50" t="s">
        <v>96</v>
      </c>
      <c r="BL50" t="s">
        <v>949</v>
      </c>
      <c r="BM50" t="s">
        <v>950</v>
      </c>
      <c r="BN50" t="s">
        <v>74</v>
      </c>
      <c r="BO50" t="s">
        <v>74</v>
      </c>
      <c r="BP50" t="s">
        <v>74</v>
      </c>
      <c r="BQ50" t="s">
        <v>74</v>
      </c>
      <c r="BR50" t="s">
        <v>99</v>
      </c>
      <c r="BS50" t="s">
        <v>966</v>
      </c>
      <c r="BT50" t="str">
        <f>HYPERLINK("https%3A%2F%2Fwww.webofscience.com%2Fwos%2Fwoscc%2Ffull-record%2FWOS:000220310700003","View Full Record in Web of Science")</f>
        <v>View Full Record in Web of Science</v>
      </c>
    </row>
    <row r="51" spans="1:72" x14ac:dyDescent="0.15">
      <c r="A51" t="s">
        <v>72</v>
      </c>
      <c r="B51" t="s">
        <v>967</v>
      </c>
      <c r="C51" t="s">
        <v>74</v>
      </c>
      <c r="D51" t="s">
        <v>74</v>
      </c>
      <c r="E51" t="s">
        <v>74</v>
      </c>
      <c r="F51" t="s">
        <v>967</v>
      </c>
      <c r="G51" t="s">
        <v>74</v>
      </c>
      <c r="H51" t="s">
        <v>74</v>
      </c>
      <c r="I51" t="s">
        <v>968</v>
      </c>
      <c r="J51" t="s">
        <v>943</v>
      </c>
      <c r="K51" t="s">
        <v>74</v>
      </c>
      <c r="L51" t="s">
        <v>74</v>
      </c>
      <c r="M51" t="s">
        <v>77</v>
      </c>
      <c r="N51" t="s">
        <v>78</v>
      </c>
      <c r="O51" t="s">
        <v>74</v>
      </c>
      <c r="P51" t="s">
        <v>74</v>
      </c>
      <c r="Q51" t="s">
        <v>74</v>
      </c>
      <c r="R51" t="s">
        <v>74</v>
      </c>
      <c r="S51" t="s">
        <v>74</v>
      </c>
      <c r="T51" t="s">
        <v>969</v>
      </c>
      <c r="U51" t="s">
        <v>970</v>
      </c>
      <c r="V51" t="s">
        <v>971</v>
      </c>
      <c r="W51" t="s">
        <v>972</v>
      </c>
      <c r="X51" t="s">
        <v>973</v>
      </c>
      <c r="Y51" t="s">
        <v>974</v>
      </c>
      <c r="Z51" t="s">
        <v>975</v>
      </c>
      <c r="AA51" t="s">
        <v>976</v>
      </c>
      <c r="AB51" t="s">
        <v>977</v>
      </c>
      <c r="AC51" t="s">
        <v>74</v>
      </c>
      <c r="AD51" t="s">
        <v>74</v>
      </c>
      <c r="AE51" t="s">
        <v>74</v>
      </c>
      <c r="AF51" t="s">
        <v>74</v>
      </c>
      <c r="AG51">
        <v>51</v>
      </c>
      <c r="AH51">
        <v>82</v>
      </c>
      <c r="AI51">
        <v>90</v>
      </c>
      <c r="AJ51">
        <v>0</v>
      </c>
      <c r="AK51">
        <v>19</v>
      </c>
      <c r="AL51" t="s">
        <v>136</v>
      </c>
      <c r="AM51" t="s">
        <v>87</v>
      </c>
      <c r="AN51" t="s">
        <v>163</v>
      </c>
      <c r="AO51" t="s">
        <v>944</v>
      </c>
      <c r="AP51" t="s">
        <v>74</v>
      </c>
      <c r="AQ51" t="s">
        <v>74</v>
      </c>
      <c r="AR51" t="s">
        <v>945</v>
      </c>
      <c r="AS51" t="s">
        <v>946</v>
      </c>
      <c r="AT51" t="s">
        <v>913</v>
      </c>
      <c r="AU51">
        <v>2004</v>
      </c>
      <c r="AV51">
        <v>16</v>
      </c>
      <c r="AW51">
        <v>1</v>
      </c>
      <c r="AX51" t="s">
        <v>74</v>
      </c>
      <c r="AY51" t="s">
        <v>74</v>
      </c>
      <c r="AZ51" t="s">
        <v>74</v>
      </c>
      <c r="BA51" t="s">
        <v>74</v>
      </c>
      <c r="BB51">
        <v>11</v>
      </c>
      <c r="BC51">
        <v>16</v>
      </c>
      <c r="BD51" t="s">
        <v>74</v>
      </c>
      <c r="BE51" t="s">
        <v>978</v>
      </c>
      <c r="BF51" t="str">
        <f>HYPERLINK("http://dx.doi.org/10.1017/S0954102004001750","http://dx.doi.org/10.1017/S0954102004001750")</f>
        <v>http://dx.doi.org/10.1017/S0954102004001750</v>
      </c>
      <c r="BG51" t="s">
        <v>74</v>
      </c>
      <c r="BH51" t="s">
        <v>74</v>
      </c>
      <c r="BI51">
        <v>6</v>
      </c>
      <c r="BJ51" t="s">
        <v>948</v>
      </c>
      <c r="BK51" t="s">
        <v>96</v>
      </c>
      <c r="BL51" t="s">
        <v>949</v>
      </c>
      <c r="BM51" t="s">
        <v>950</v>
      </c>
      <c r="BN51" t="s">
        <v>74</v>
      </c>
      <c r="BO51" t="s">
        <v>74</v>
      </c>
      <c r="BP51" t="s">
        <v>74</v>
      </c>
      <c r="BQ51" t="s">
        <v>74</v>
      </c>
      <c r="BR51" t="s">
        <v>99</v>
      </c>
      <c r="BS51" t="s">
        <v>979</v>
      </c>
      <c r="BT51" t="str">
        <f>HYPERLINK("https%3A%2F%2Fwww.webofscience.com%2Fwos%2Fwoscc%2Ffull-record%2FWOS:000220310700004","View Full Record in Web of Science")</f>
        <v>View Full Record in Web of Science</v>
      </c>
    </row>
    <row r="52" spans="1:72" x14ac:dyDescent="0.15">
      <c r="A52" t="s">
        <v>72</v>
      </c>
      <c r="B52" t="s">
        <v>980</v>
      </c>
      <c r="C52" t="s">
        <v>74</v>
      </c>
      <c r="D52" t="s">
        <v>74</v>
      </c>
      <c r="E52" t="s">
        <v>74</v>
      </c>
      <c r="F52" t="s">
        <v>980</v>
      </c>
      <c r="G52" t="s">
        <v>74</v>
      </c>
      <c r="H52" t="s">
        <v>74</v>
      </c>
      <c r="I52" t="s">
        <v>981</v>
      </c>
      <c r="J52" t="s">
        <v>943</v>
      </c>
      <c r="K52" t="s">
        <v>74</v>
      </c>
      <c r="L52" t="s">
        <v>74</v>
      </c>
      <c r="M52" t="s">
        <v>77</v>
      </c>
      <c r="N52" t="s">
        <v>78</v>
      </c>
      <c r="O52" t="s">
        <v>74</v>
      </c>
      <c r="P52" t="s">
        <v>74</v>
      </c>
      <c r="Q52" t="s">
        <v>74</v>
      </c>
      <c r="R52" t="s">
        <v>74</v>
      </c>
      <c r="S52" t="s">
        <v>74</v>
      </c>
      <c r="T52" t="s">
        <v>982</v>
      </c>
      <c r="U52" t="s">
        <v>983</v>
      </c>
      <c r="V52" t="s">
        <v>984</v>
      </c>
      <c r="W52" t="s">
        <v>985</v>
      </c>
      <c r="X52" t="s">
        <v>74</v>
      </c>
      <c r="Y52" t="s">
        <v>986</v>
      </c>
      <c r="Z52" t="s">
        <v>987</v>
      </c>
      <c r="AA52" t="s">
        <v>74</v>
      </c>
      <c r="AB52" t="s">
        <v>74</v>
      </c>
      <c r="AC52" t="s">
        <v>74</v>
      </c>
      <c r="AD52" t="s">
        <v>74</v>
      </c>
      <c r="AE52" t="s">
        <v>74</v>
      </c>
      <c r="AF52" t="s">
        <v>74</v>
      </c>
      <c r="AG52">
        <v>16</v>
      </c>
      <c r="AH52">
        <v>5</v>
      </c>
      <c r="AI52">
        <v>8</v>
      </c>
      <c r="AJ52">
        <v>0</v>
      </c>
      <c r="AK52">
        <v>7</v>
      </c>
      <c r="AL52" t="s">
        <v>136</v>
      </c>
      <c r="AM52" t="s">
        <v>87</v>
      </c>
      <c r="AN52" t="s">
        <v>163</v>
      </c>
      <c r="AO52" t="s">
        <v>944</v>
      </c>
      <c r="AP52" t="s">
        <v>74</v>
      </c>
      <c r="AQ52" t="s">
        <v>74</v>
      </c>
      <c r="AR52" t="s">
        <v>945</v>
      </c>
      <c r="AS52" t="s">
        <v>946</v>
      </c>
      <c r="AT52" t="s">
        <v>913</v>
      </c>
      <c r="AU52">
        <v>2004</v>
      </c>
      <c r="AV52">
        <v>16</v>
      </c>
      <c r="AW52">
        <v>1</v>
      </c>
      <c r="AX52" t="s">
        <v>74</v>
      </c>
      <c r="AY52" t="s">
        <v>74</v>
      </c>
      <c r="AZ52" t="s">
        <v>74</v>
      </c>
      <c r="BA52" t="s">
        <v>74</v>
      </c>
      <c r="BB52">
        <v>17</v>
      </c>
      <c r="BC52">
        <v>21</v>
      </c>
      <c r="BD52" t="s">
        <v>74</v>
      </c>
      <c r="BE52" t="s">
        <v>988</v>
      </c>
      <c r="BF52" t="str">
        <f>HYPERLINK("http://dx.doi.org/10.1017/S0954102004001762","http://dx.doi.org/10.1017/S0954102004001762")</f>
        <v>http://dx.doi.org/10.1017/S0954102004001762</v>
      </c>
      <c r="BG52" t="s">
        <v>74</v>
      </c>
      <c r="BH52" t="s">
        <v>74</v>
      </c>
      <c r="BI52">
        <v>5</v>
      </c>
      <c r="BJ52" t="s">
        <v>948</v>
      </c>
      <c r="BK52" t="s">
        <v>96</v>
      </c>
      <c r="BL52" t="s">
        <v>949</v>
      </c>
      <c r="BM52" t="s">
        <v>950</v>
      </c>
      <c r="BN52" t="s">
        <v>74</v>
      </c>
      <c r="BO52" t="s">
        <v>74</v>
      </c>
      <c r="BP52" t="s">
        <v>74</v>
      </c>
      <c r="BQ52" t="s">
        <v>74</v>
      </c>
      <c r="BR52" t="s">
        <v>99</v>
      </c>
      <c r="BS52" t="s">
        <v>989</v>
      </c>
      <c r="BT52" t="str">
        <f>HYPERLINK("https%3A%2F%2Fwww.webofscience.com%2Fwos%2Fwoscc%2Ffull-record%2FWOS:000220310700005","View Full Record in Web of Science")</f>
        <v>View Full Record in Web of Science</v>
      </c>
    </row>
    <row r="53" spans="1:72" x14ac:dyDescent="0.15">
      <c r="A53" t="s">
        <v>72</v>
      </c>
      <c r="B53" t="s">
        <v>990</v>
      </c>
      <c r="C53" t="s">
        <v>74</v>
      </c>
      <c r="D53" t="s">
        <v>74</v>
      </c>
      <c r="E53" t="s">
        <v>74</v>
      </c>
      <c r="F53" t="s">
        <v>990</v>
      </c>
      <c r="G53" t="s">
        <v>74</v>
      </c>
      <c r="H53" t="s">
        <v>74</v>
      </c>
      <c r="I53" t="s">
        <v>991</v>
      </c>
      <c r="J53" t="s">
        <v>943</v>
      </c>
      <c r="K53" t="s">
        <v>74</v>
      </c>
      <c r="L53" t="s">
        <v>74</v>
      </c>
      <c r="M53" t="s">
        <v>77</v>
      </c>
      <c r="N53" t="s">
        <v>78</v>
      </c>
      <c r="O53" t="s">
        <v>74</v>
      </c>
      <c r="P53" t="s">
        <v>74</v>
      </c>
      <c r="Q53" t="s">
        <v>74</v>
      </c>
      <c r="R53" t="s">
        <v>74</v>
      </c>
      <c r="S53" t="s">
        <v>74</v>
      </c>
      <c r="T53" t="s">
        <v>992</v>
      </c>
      <c r="U53" t="s">
        <v>993</v>
      </c>
      <c r="V53" t="s">
        <v>994</v>
      </c>
      <c r="W53" t="s">
        <v>995</v>
      </c>
      <c r="X53" t="s">
        <v>996</v>
      </c>
      <c r="Y53" t="s">
        <v>997</v>
      </c>
      <c r="Z53" t="s">
        <v>998</v>
      </c>
      <c r="AA53" t="s">
        <v>74</v>
      </c>
      <c r="AB53" t="s">
        <v>999</v>
      </c>
      <c r="AC53" t="s">
        <v>74</v>
      </c>
      <c r="AD53" t="s">
        <v>74</v>
      </c>
      <c r="AE53" t="s">
        <v>74</v>
      </c>
      <c r="AF53" t="s">
        <v>74</v>
      </c>
      <c r="AG53">
        <v>32</v>
      </c>
      <c r="AH53">
        <v>26</v>
      </c>
      <c r="AI53">
        <v>27</v>
      </c>
      <c r="AJ53">
        <v>0</v>
      </c>
      <c r="AK53">
        <v>5</v>
      </c>
      <c r="AL53" t="s">
        <v>136</v>
      </c>
      <c r="AM53" t="s">
        <v>87</v>
      </c>
      <c r="AN53" t="s">
        <v>137</v>
      </c>
      <c r="AO53" t="s">
        <v>944</v>
      </c>
      <c r="AP53" t="s">
        <v>1000</v>
      </c>
      <c r="AQ53" t="s">
        <v>74</v>
      </c>
      <c r="AR53" t="s">
        <v>945</v>
      </c>
      <c r="AS53" t="s">
        <v>946</v>
      </c>
      <c r="AT53" t="s">
        <v>913</v>
      </c>
      <c r="AU53">
        <v>2004</v>
      </c>
      <c r="AV53">
        <v>16</v>
      </c>
      <c r="AW53">
        <v>1</v>
      </c>
      <c r="AX53" t="s">
        <v>74</v>
      </c>
      <c r="AY53" t="s">
        <v>74</v>
      </c>
      <c r="AZ53" t="s">
        <v>74</v>
      </c>
      <c r="BA53" t="s">
        <v>74</v>
      </c>
      <c r="BB53">
        <v>23</v>
      </c>
      <c r="BC53">
        <v>28</v>
      </c>
      <c r="BD53" t="s">
        <v>74</v>
      </c>
      <c r="BE53" t="s">
        <v>1001</v>
      </c>
      <c r="BF53" t="str">
        <f>HYPERLINK("http://dx.doi.org/10.1017/S0954102004001774","http://dx.doi.org/10.1017/S0954102004001774")</f>
        <v>http://dx.doi.org/10.1017/S0954102004001774</v>
      </c>
      <c r="BG53" t="s">
        <v>74</v>
      </c>
      <c r="BH53" t="s">
        <v>74</v>
      </c>
      <c r="BI53">
        <v>6</v>
      </c>
      <c r="BJ53" t="s">
        <v>948</v>
      </c>
      <c r="BK53" t="s">
        <v>96</v>
      </c>
      <c r="BL53" t="s">
        <v>949</v>
      </c>
      <c r="BM53" t="s">
        <v>950</v>
      </c>
      <c r="BN53" t="s">
        <v>74</v>
      </c>
      <c r="BO53" t="s">
        <v>74</v>
      </c>
      <c r="BP53" t="s">
        <v>74</v>
      </c>
      <c r="BQ53" t="s">
        <v>74</v>
      </c>
      <c r="BR53" t="s">
        <v>99</v>
      </c>
      <c r="BS53" t="s">
        <v>1002</v>
      </c>
      <c r="BT53" t="str">
        <f>HYPERLINK("https%3A%2F%2Fwww.webofscience.com%2Fwos%2Fwoscc%2Ffull-record%2FWOS:000220310700006","View Full Record in Web of Science")</f>
        <v>View Full Record in Web of Science</v>
      </c>
    </row>
    <row r="54" spans="1:72" x14ac:dyDescent="0.15">
      <c r="A54" t="s">
        <v>72</v>
      </c>
      <c r="B54" t="s">
        <v>1003</v>
      </c>
      <c r="C54" t="s">
        <v>74</v>
      </c>
      <c r="D54" t="s">
        <v>74</v>
      </c>
      <c r="E54" t="s">
        <v>74</v>
      </c>
      <c r="F54" t="s">
        <v>1003</v>
      </c>
      <c r="G54" t="s">
        <v>74</v>
      </c>
      <c r="H54" t="s">
        <v>74</v>
      </c>
      <c r="I54" t="s">
        <v>1004</v>
      </c>
      <c r="J54" t="s">
        <v>943</v>
      </c>
      <c r="K54" t="s">
        <v>74</v>
      </c>
      <c r="L54" t="s">
        <v>74</v>
      </c>
      <c r="M54" t="s">
        <v>77</v>
      </c>
      <c r="N54" t="s">
        <v>78</v>
      </c>
      <c r="O54" t="s">
        <v>74</v>
      </c>
      <c r="P54" t="s">
        <v>74</v>
      </c>
      <c r="Q54" t="s">
        <v>74</v>
      </c>
      <c r="R54" t="s">
        <v>74</v>
      </c>
      <c r="S54" t="s">
        <v>74</v>
      </c>
      <c r="T54" t="s">
        <v>1005</v>
      </c>
      <c r="U54" t="s">
        <v>1006</v>
      </c>
      <c r="V54" t="s">
        <v>1007</v>
      </c>
      <c r="W54" t="s">
        <v>1008</v>
      </c>
      <c r="X54" t="s">
        <v>1009</v>
      </c>
      <c r="Y54" t="s">
        <v>1010</v>
      </c>
      <c r="Z54" t="s">
        <v>1011</v>
      </c>
      <c r="AA54" t="s">
        <v>74</v>
      </c>
      <c r="AB54" t="s">
        <v>74</v>
      </c>
      <c r="AC54" t="s">
        <v>74</v>
      </c>
      <c r="AD54" t="s">
        <v>74</v>
      </c>
      <c r="AE54" t="s">
        <v>74</v>
      </c>
      <c r="AF54" t="s">
        <v>74</v>
      </c>
      <c r="AG54">
        <v>36</v>
      </c>
      <c r="AH54">
        <v>27</v>
      </c>
      <c r="AI54">
        <v>30</v>
      </c>
      <c r="AJ54">
        <v>0</v>
      </c>
      <c r="AK54">
        <v>12</v>
      </c>
      <c r="AL54" t="s">
        <v>136</v>
      </c>
      <c r="AM54" t="s">
        <v>87</v>
      </c>
      <c r="AN54" t="s">
        <v>137</v>
      </c>
      <c r="AO54" t="s">
        <v>944</v>
      </c>
      <c r="AP54" t="s">
        <v>1000</v>
      </c>
      <c r="AQ54" t="s">
        <v>74</v>
      </c>
      <c r="AR54" t="s">
        <v>945</v>
      </c>
      <c r="AS54" t="s">
        <v>946</v>
      </c>
      <c r="AT54" t="s">
        <v>913</v>
      </c>
      <c r="AU54">
        <v>2004</v>
      </c>
      <c r="AV54">
        <v>16</v>
      </c>
      <c r="AW54">
        <v>1</v>
      </c>
      <c r="AX54" t="s">
        <v>74</v>
      </c>
      <c r="AY54" t="s">
        <v>74</v>
      </c>
      <c r="AZ54" t="s">
        <v>74</v>
      </c>
      <c r="BA54" t="s">
        <v>74</v>
      </c>
      <c r="BB54">
        <v>29</v>
      </c>
      <c r="BC54">
        <v>36</v>
      </c>
      <c r="BD54" t="s">
        <v>74</v>
      </c>
      <c r="BE54" t="s">
        <v>1012</v>
      </c>
      <c r="BF54" t="str">
        <f>HYPERLINK("http://dx.doi.org/10.1017/S0954102004001786","http://dx.doi.org/10.1017/S0954102004001786")</f>
        <v>http://dx.doi.org/10.1017/S0954102004001786</v>
      </c>
      <c r="BG54" t="s">
        <v>74</v>
      </c>
      <c r="BH54" t="s">
        <v>74</v>
      </c>
      <c r="BI54">
        <v>8</v>
      </c>
      <c r="BJ54" t="s">
        <v>948</v>
      </c>
      <c r="BK54" t="s">
        <v>96</v>
      </c>
      <c r="BL54" t="s">
        <v>949</v>
      </c>
      <c r="BM54" t="s">
        <v>950</v>
      </c>
      <c r="BN54" t="s">
        <v>74</v>
      </c>
      <c r="BO54" t="s">
        <v>74</v>
      </c>
      <c r="BP54" t="s">
        <v>74</v>
      </c>
      <c r="BQ54" t="s">
        <v>74</v>
      </c>
      <c r="BR54" t="s">
        <v>99</v>
      </c>
      <c r="BS54" t="s">
        <v>1013</v>
      </c>
      <c r="BT54" t="str">
        <f>HYPERLINK("https%3A%2F%2Fwww.webofscience.com%2Fwos%2Fwoscc%2Ffull-record%2FWOS:000220310700007","View Full Record in Web of Science")</f>
        <v>View Full Record in Web of Science</v>
      </c>
    </row>
    <row r="55" spans="1:72" x14ac:dyDescent="0.15">
      <c r="A55" t="s">
        <v>72</v>
      </c>
      <c r="B55" t="s">
        <v>1014</v>
      </c>
      <c r="C55" t="s">
        <v>74</v>
      </c>
      <c r="D55" t="s">
        <v>74</v>
      </c>
      <c r="E55" t="s">
        <v>74</v>
      </c>
      <c r="F55" t="s">
        <v>1014</v>
      </c>
      <c r="G55" t="s">
        <v>74</v>
      </c>
      <c r="H55" t="s">
        <v>74</v>
      </c>
      <c r="I55" t="s">
        <v>1015</v>
      </c>
      <c r="J55" t="s">
        <v>943</v>
      </c>
      <c r="K55" t="s">
        <v>74</v>
      </c>
      <c r="L55" t="s">
        <v>74</v>
      </c>
      <c r="M55" t="s">
        <v>77</v>
      </c>
      <c r="N55" t="s">
        <v>78</v>
      </c>
      <c r="O55" t="s">
        <v>74</v>
      </c>
      <c r="P55" t="s">
        <v>74</v>
      </c>
      <c r="Q55" t="s">
        <v>74</v>
      </c>
      <c r="R55" t="s">
        <v>74</v>
      </c>
      <c r="S55" t="s">
        <v>74</v>
      </c>
      <c r="T55" t="s">
        <v>1016</v>
      </c>
      <c r="U55" t="s">
        <v>1017</v>
      </c>
      <c r="V55" t="s">
        <v>1018</v>
      </c>
      <c r="W55" t="s">
        <v>1019</v>
      </c>
      <c r="X55" t="s">
        <v>1020</v>
      </c>
      <c r="Y55" t="s">
        <v>1021</v>
      </c>
      <c r="Z55" t="s">
        <v>1022</v>
      </c>
      <c r="AA55" t="s">
        <v>1023</v>
      </c>
      <c r="AB55" t="s">
        <v>1024</v>
      </c>
      <c r="AC55" t="s">
        <v>74</v>
      </c>
      <c r="AD55" t="s">
        <v>74</v>
      </c>
      <c r="AE55" t="s">
        <v>74</v>
      </c>
      <c r="AF55" t="s">
        <v>74</v>
      </c>
      <c r="AG55">
        <v>47</v>
      </c>
      <c r="AH55">
        <v>90</v>
      </c>
      <c r="AI55">
        <v>95</v>
      </c>
      <c r="AJ55">
        <v>0</v>
      </c>
      <c r="AK55">
        <v>17</v>
      </c>
      <c r="AL55" t="s">
        <v>136</v>
      </c>
      <c r="AM55" t="s">
        <v>87</v>
      </c>
      <c r="AN55" t="s">
        <v>137</v>
      </c>
      <c r="AO55" t="s">
        <v>944</v>
      </c>
      <c r="AP55" t="s">
        <v>1000</v>
      </c>
      <c r="AQ55" t="s">
        <v>74</v>
      </c>
      <c r="AR55" t="s">
        <v>945</v>
      </c>
      <c r="AS55" t="s">
        <v>946</v>
      </c>
      <c r="AT55" t="s">
        <v>913</v>
      </c>
      <c r="AU55">
        <v>2004</v>
      </c>
      <c r="AV55">
        <v>16</v>
      </c>
      <c r="AW55">
        <v>1</v>
      </c>
      <c r="AX55" t="s">
        <v>74</v>
      </c>
      <c r="AY55" t="s">
        <v>74</v>
      </c>
      <c r="AZ55" t="s">
        <v>74</v>
      </c>
      <c r="BA55" t="s">
        <v>74</v>
      </c>
      <c r="BB55">
        <v>37</v>
      </c>
      <c r="BC55">
        <v>44</v>
      </c>
      <c r="BD55" t="s">
        <v>74</v>
      </c>
      <c r="BE55" t="s">
        <v>1025</v>
      </c>
      <c r="BF55" t="str">
        <f>HYPERLINK("http://dx.doi.org/10.1017/S0954102004001798","http://dx.doi.org/10.1017/S0954102004001798")</f>
        <v>http://dx.doi.org/10.1017/S0954102004001798</v>
      </c>
      <c r="BG55" t="s">
        <v>74</v>
      </c>
      <c r="BH55" t="s">
        <v>74</v>
      </c>
      <c r="BI55">
        <v>8</v>
      </c>
      <c r="BJ55" t="s">
        <v>948</v>
      </c>
      <c r="BK55" t="s">
        <v>96</v>
      </c>
      <c r="BL55" t="s">
        <v>949</v>
      </c>
      <c r="BM55" t="s">
        <v>950</v>
      </c>
      <c r="BN55" t="s">
        <v>74</v>
      </c>
      <c r="BO55" t="s">
        <v>74</v>
      </c>
      <c r="BP55" t="s">
        <v>74</v>
      </c>
      <c r="BQ55" t="s">
        <v>74</v>
      </c>
      <c r="BR55" t="s">
        <v>99</v>
      </c>
      <c r="BS55" t="s">
        <v>1026</v>
      </c>
      <c r="BT55" t="str">
        <f>HYPERLINK("https%3A%2F%2Fwww.webofscience.com%2Fwos%2Fwoscc%2Ffull-record%2FWOS:000220310700008","View Full Record in Web of Science")</f>
        <v>View Full Record in Web of Science</v>
      </c>
    </row>
    <row r="56" spans="1:72" x14ac:dyDescent="0.15">
      <c r="A56" t="s">
        <v>72</v>
      </c>
      <c r="B56" t="s">
        <v>1027</v>
      </c>
      <c r="C56" t="s">
        <v>74</v>
      </c>
      <c r="D56" t="s">
        <v>74</v>
      </c>
      <c r="E56" t="s">
        <v>74</v>
      </c>
      <c r="F56" t="s">
        <v>1027</v>
      </c>
      <c r="G56" t="s">
        <v>74</v>
      </c>
      <c r="H56" t="s">
        <v>74</v>
      </c>
      <c r="I56" t="s">
        <v>1028</v>
      </c>
      <c r="J56" t="s">
        <v>943</v>
      </c>
      <c r="K56" t="s">
        <v>74</v>
      </c>
      <c r="L56" t="s">
        <v>74</v>
      </c>
      <c r="M56" t="s">
        <v>77</v>
      </c>
      <c r="N56" t="s">
        <v>78</v>
      </c>
      <c r="O56" t="s">
        <v>74</v>
      </c>
      <c r="P56" t="s">
        <v>74</v>
      </c>
      <c r="Q56" t="s">
        <v>74</v>
      </c>
      <c r="R56" t="s">
        <v>74</v>
      </c>
      <c r="S56" t="s">
        <v>74</v>
      </c>
      <c r="T56" t="s">
        <v>1029</v>
      </c>
      <c r="U56" t="s">
        <v>1030</v>
      </c>
      <c r="V56" t="s">
        <v>1031</v>
      </c>
      <c r="W56" t="s">
        <v>1032</v>
      </c>
      <c r="X56" t="s">
        <v>1033</v>
      </c>
      <c r="Y56" t="s">
        <v>1034</v>
      </c>
      <c r="Z56" t="s">
        <v>74</v>
      </c>
      <c r="AA56" t="s">
        <v>1035</v>
      </c>
      <c r="AB56" t="s">
        <v>74</v>
      </c>
      <c r="AC56" t="s">
        <v>74</v>
      </c>
      <c r="AD56" t="s">
        <v>74</v>
      </c>
      <c r="AE56" t="s">
        <v>74</v>
      </c>
      <c r="AF56" t="s">
        <v>74</v>
      </c>
      <c r="AG56">
        <v>23</v>
      </c>
      <c r="AH56">
        <v>2</v>
      </c>
      <c r="AI56">
        <v>2</v>
      </c>
      <c r="AJ56">
        <v>0</v>
      </c>
      <c r="AK56">
        <v>8</v>
      </c>
      <c r="AL56" t="s">
        <v>136</v>
      </c>
      <c r="AM56" t="s">
        <v>87</v>
      </c>
      <c r="AN56" t="s">
        <v>163</v>
      </c>
      <c r="AO56" t="s">
        <v>944</v>
      </c>
      <c r="AP56" t="s">
        <v>74</v>
      </c>
      <c r="AQ56" t="s">
        <v>74</v>
      </c>
      <c r="AR56" t="s">
        <v>945</v>
      </c>
      <c r="AS56" t="s">
        <v>946</v>
      </c>
      <c r="AT56" t="s">
        <v>913</v>
      </c>
      <c r="AU56">
        <v>2004</v>
      </c>
      <c r="AV56">
        <v>16</v>
      </c>
      <c r="AW56">
        <v>1</v>
      </c>
      <c r="AX56" t="s">
        <v>74</v>
      </c>
      <c r="AY56" t="s">
        <v>74</v>
      </c>
      <c r="AZ56" t="s">
        <v>74</v>
      </c>
      <c r="BA56" t="s">
        <v>74</v>
      </c>
      <c r="BB56">
        <v>45</v>
      </c>
      <c r="BC56">
        <v>50</v>
      </c>
      <c r="BD56" t="s">
        <v>74</v>
      </c>
      <c r="BE56" t="s">
        <v>1036</v>
      </c>
      <c r="BF56" t="str">
        <f>HYPERLINK("http://dx.doi.org/10.1017/S0954102004001804","http://dx.doi.org/10.1017/S0954102004001804")</f>
        <v>http://dx.doi.org/10.1017/S0954102004001804</v>
      </c>
      <c r="BG56" t="s">
        <v>74</v>
      </c>
      <c r="BH56" t="s">
        <v>74</v>
      </c>
      <c r="BI56">
        <v>6</v>
      </c>
      <c r="BJ56" t="s">
        <v>948</v>
      </c>
      <c r="BK56" t="s">
        <v>96</v>
      </c>
      <c r="BL56" t="s">
        <v>949</v>
      </c>
      <c r="BM56" t="s">
        <v>950</v>
      </c>
      <c r="BN56" t="s">
        <v>74</v>
      </c>
      <c r="BO56" t="s">
        <v>74</v>
      </c>
      <c r="BP56" t="s">
        <v>74</v>
      </c>
      <c r="BQ56" t="s">
        <v>74</v>
      </c>
      <c r="BR56" t="s">
        <v>99</v>
      </c>
      <c r="BS56" t="s">
        <v>1037</v>
      </c>
      <c r="BT56" t="str">
        <f>HYPERLINK("https%3A%2F%2Fwww.webofscience.com%2Fwos%2Fwoscc%2Ffull-record%2FWOS:000220310700009","View Full Record in Web of Science")</f>
        <v>View Full Record in Web of Science</v>
      </c>
    </row>
    <row r="57" spans="1:72" x14ac:dyDescent="0.15">
      <c r="A57" t="s">
        <v>72</v>
      </c>
      <c r="B57" t="s">
        <v>1038</v>
      </c>
      <c r="C57" t="s">
        <v>74</v>
      </c>
      <c r="D57" t="s">
        <v>74</v>
      </c>
      <c r="E57" t="s">
        <v>74</v>
      </c>
      <c r="F57" t="s">
        <v>1038</v>
      </c>
      <c r="G57" t="s">
        <v>74</v>
      </c>
      <c r="H57" t="s">
        <v>74</v>
      </c>
      <c r="I57" t="s">
        <v>1039</v>
      </c>
      <c r="J57" t="s">
        <v>943</v>
      </c>
      <c r="K57" t="s">
        <v>74</v>
      </c>
      <c r="L57" t="s">
        <v>74</v>
      </c>
      <c r="M57" t="s">
        <v>77</v>
      </c>
      <c r="N57" t="s">
        <v>78</v>
      </c>
      <c r="O57" t="s">
        <v>74</v>
      </c>
      <c r="P57" t="s">
        <v>74</v>
      </c>
      <c r="Q57" t="s">
        <v>74</v>
      </c>
      <c r="R57" t="s">
        <v>74</v>
      </c>
      <c r="S57" t="s">
        <v>74</v>
      </c>
      <c r="T57" t="s">
        <v>1040</v>
      </c>
      <c r="U57" t="s">
        <v>1041</v>
      </c>
      <c r="V57" t="s">
        <v>1042</v>
      </c>
      <c r="W57" t="s">
        <v>1043</v>
      </c>
      <c r="X57" t="s">
        <v>1044</v>
      </c>
      <c r="Y57" t="s">
        <v>1045</v>
      </c>
      <c r="Z57" t="s">
        <v>1046</v>
      </c>
      <c r="AA57" t="s">
        <v>74</v>
      </c>
      <c r="AB57" t="s">
        <v>74</v>
      </c>
      <c r="AC57" t="s">
        <v>74</v>
      </c>
      <c r="AD57" t="s">
        <v>74</v>
      </c>
      <c r="AE57" t="s">
        <v>74</v>
      </c>
      <c r="AF57" t="s">
        <v>74</v>
      </c>
      <c r="AG57">
        <v>19</v>
      </c>
      <c r="AH57">
        <v>58</v>
      </c>
      <c r="AI57">
        <v>59</v>
      </c>
      <c r="AJ57">
        <v>0</v>
      </c>
      <c r="AK57">
        <v>3</v>
      </c>
      <c r="AL57" t="s">
        <v>136</v>
      </c>
      <c r="AM57" t="s">
        <v>87</v>
      </c>
      <c r="AN57" t="s">
        <v>137</v>
      </c>
      <c r="AO57" t="s">
        <v>944</v>
      </c>
      <c r="AP57" t="s">
        <v>1000</v>
      </c>
      <c r="AQ57" t="s">
        <v>74</v>
      </c>
      <c r="AR57" t="s">
        <v>945</v>
      </c>
      <c r="AS57" t="s">
        <v>946</v>
      </c>
      <c r="AT57" t="s">
        <v>913</v>
      </c>
      <c r="AU57">
        <v>2004</v>
      </c>
      <c r="AV57">
        <v>16</v>
      </c>
      <c r="AW57">
        <v>1</v>
      </c>
      <c r="AX57" t="s">
        <v>74</v>
      </c>
      <c r="AY57" t="s">
        <v>74</v>
      </c>
      <c r="AZ57" t="s">
        <v>74</v>
      </c>
      <c r="BA57" t="s">
        <v>74</v>
      </c>
      <c r="BB57">
        <v>51</v>
      </c>
      <c r="BC57">
        <v>57</v>
      </c>
      <c r="BD57" t="s">
        <v>74</v>
      </c>
      <c r="BE57" t="s">
        <v>1047</v>
      </c>
      <c r="BF57" t="str">
        <f>HYPERLINK("http://dx.doi.org/10.1017/S0954102004001816","http://dx.doi.org/10.1017/S0954102004001816")</f>
        <v>http://dx.doi.org/10.1017/S0954102004001816</v>
      </c>
      <c r="BG57" t="s">
        <v>74</v>
      </c>
      <c r="BH57" t="s">
        <v>74</v>
      </c>
      <c r="BI57">
        <v>7</v>
      </c>
      <c r="BJ57" t="s">
        <v>948</v>
      </c>
      <c r="BK57" t="s">
        <v>96</v>
      </c>
      <c r="BL57" t="s">
        <v>949</v>
      </c>
      <c r="BM57" t="s">
        <v>950</v>
      </c>
      <c r="BN57" t="s">
        <v>74</v>
      </c>
      <c r="BO57" t="s">
        <v>74</v>
      </c>
      <c r="BP57" t="s">
        <v>74</v>
      </c>
      <c r="BQ57" t="s">
        <v>74</v>
      </c>
      <c r="BR57" t="s">
        <v>99</v>
      </c>
      <c r="BS57" t="s">
        <v>1048</v>
      </c>
      <c r="BT57" t="str">
        <f>HYPERLINK("https%3A%2F%2Fwww.webofscience.com%2Fwos%2Fwoscc%2Ffull-record%2FWOS:000220310700010","View Full Record in Web of Science")</f>
        <v>View Full Record in Web of Science</v>
      </c>
    </row>
    <row r="58" spans="1:72" x14ac:dyDescent="0.15">
      <c r="A58" t="s">
        <v>72</v>
      </c>
      <c r="B58" t="s">
        <v>1049</v>
      </c>
      <c r="C58" t="s">
        <v>74</v>
      </c>
      <c r="D58" t="s">
        <v>74</v>
      </c>
      <c r="E58" t="s">
        <v>74</v>
      </c>
      <c r="F58" t="s">
        <v>1049</v>
      </c>
      <c r="G58" t="s">
        <v>74</v>
      </c>
      <c r="H58" t="s">
        <v>74</v>
      </c>
      <c r="I58" t="s">
        <v>1050</v>
      </c>
      <c r="J58" t="s">
        <v>943</v>
      </c>
      <c r="K58" t="s">
        <v>74</v>
      </c>
      <c r="L58" t="s">
        <v>74</v>
      </c>
      <c r="M58" t="s">
        <v>77</v>
      </c>
      <c r="N58" t="s">
        <v>78</v>
      </c>
      <c r="O58" t="s">
        <v>74</v>
      </c>
      <c r="P58" t="s">
        <v>74</v>
      </c>
      <c r="Q58" t="s">
        <v>74</v>
      </c>
      <c r="R58" t="s">
        <v>74</v>
      </c>
      <c r="S58" t="s">
        <v>74</v>
      </c>
      <c r="T58" t="s">
        <v>1051</v>
      </c>
      <c r="U58" t="s">
        <v>1052</v>
      </c>
      <c r="V58" t="s">
        <v>1053</v>
      </c>
      <c r="W58" t="s">
        <v>1032</v>
      </c>
      <c r="X58" t="s">
        <v>1033</v>
      </c>
      <c r="Y58" t="s">
        <v>1054</v>
      </c>
      <c r="Z58" t="s">
        <v>1055</v>
      </c>
      <c r="AA58" t="s">
        <v>74</v>
      </c>
      <c r="AB58" t="s">
        <v>1056</v>
      </c>
      <c r="AC58" t="s">
        <v>74</v>
      </c>
      <c r="AD58" t="s">
        <v>74</v>
      </c>
      <c r="AE58" t="s">
        <v>74</v>
      </c>
      <c r="AF58" t="s">
        <v>74</v>
      </c>
      <c r="AG58">
        <v>35</v>
      </c>
      <c r="AH58">
        <v>4</v>
      </c>
      <c r="AI58">
        <v>5</v>
      </c>
      <c r="AJ58">
        <v>2</v>
      </c>
      <c r="AK58">
        <v>20</v>
      </c>
      <c r="AL58" t="s">
        <v>136</v>
      </c>
      <c r="AM58" t="s">
        <v>87</v>
      </c>
      <c r="AN58" t="s">
        <v>137</v>
      </c>
      <c r="AO58" t="s">
        <v>944</v>
      </c>
      <c r="AP58" t="s">
        <v>1000</v>
      </c>
      <c r="AQ58" t="s">
        <v>74</v>
      </c>
      <c r="AR58" t="s">
        <v>945</v>
      </c>
      <c r="AS58" t="s">
        <v>946</v>
      </c>
      <c r="AT58" t="s">
        <v>913</v>
      </c>
      <c r="AU58">
        <v>2004</v>
      </c>
      <c r="AV58">
        <v>16</v>
      </c>
      <c r="AW58">
        <v>1</v>
      </c>
      <c r="AX58" t="s">
        <v>74</v>
      </c>
      <c r="AY58" t="s">
        <v>74</v>
      </c>
      <c r="AZ58" t="s">
        <v>74</v>
      </c>
      <c r="BA58" t="s">
        <v>74</v>
      </c>
      <c r="BB58">
        <v>59</v>
      </c>
      <c r="BC58">
        <v>69</v>
      </c>
      <c r="BD58" t="s">
        <v>74</v>
      </c>
      <c r="BE58" t="s">
        <v>1057</v>
      </c>
      <c r="BF58" t="str">
        <f>HYPERLINK("http://dx.doi.org/10.1017/S0954102004001828","http://dx.doi.org/10.1017/S0954102004001828")</f>
        <v>http://dx.doi.org/10.1017/S0954102004001828</v>
      </c>
      <c r="BG58" t="s">
        <v>74</v>
      </c>
      <c r="BH58" t="s">
        <v>74</v>
      </c>
      <c r="BI58">
        <v>11</v>
      </c>
      <c r="BJ58" t="s">
        <v>948</v>
      </c>
      <c r="BK58" t="s">
        <v>96</v>
      </c>
      <c r="BL58" t="s">
        <v>949</v>
      </c>
      <c r="BM58" t="s">
        <v>950</v>
      </c>
      <c r="BN58" t="s">
        <v>74</v>
      </c>
      <c r="BO58" t="s">
        <v>74</v>
      </c>
      <c r="BP58" t="s">
        <v>74</v>
      </c>
      <c r="BQ58" t="s">
        <v>74</v>
      </c>
      <c r="BR58" t="s">
        <v>99</v>
      </c>
      <c r="BS58" t="s">
        <v>1058</v>
      </c>
      <c r="BT58" t="str">
        <f>HYPERLINK("https%3A%2F%2Fwww.webofscience.com%2Fwos%2Fwoscc%2Ffull-record%2FWOS:000220310700011","View Full Record in Web of Science")</f>
        <v>View Full Record in Web of Science</v>
      </c>
    </row>
    <row r="59" spans="1:72" x14ac:dyDescent="0.15">
      <c r="A59" t="s">
        <v>72</v>
      </c>
      <c r="B59" t="s">
        <v>1059</v>
      </c>
      <c r="C59" t="s">
        <v>74</v>
      </c>
      <c r="D59" t="s">
        <v>74</v>
      </c>
      <c r="E59" t="s">
        <v>74</v>
      </c>
      <c r="F59" t="s">
        <v>1059</v>
      </c>
      <c r="G59" t="s">
        <v>74</v>
      </c>
      <c r="H59" t="s">
        <v>74</v>
      </c>
      <c r="I59" t="s">
        <v>1060</v>
      </c>
      <c r="J59" t="s">
        <v>943</v>
      </c>
      <c r="K59" t="s">
        <v>74</v>
      </c>
      <c r="L59" t="s">
        <v>74</v>
      </c>
      <c r="M59" t="s">
        <v>77</v>
      </c>
      <c r="N59" t="s">
        <v>78</v>
      </c>
      <c r="O59" t="s">
        <v>74</v>
      </c>
      <c r="P59" t="s">
        <v>74</v>
      </c>
      <c r="Q59" t="s">
        <v>74</v>
      </c>
      <c r="R59" t="s">
        <v>74</v>
      </c>
      <c r="S59" t="s">
        <v>74</v>
      </c>
      <c r="T59" t="s">
        <v>1061</v>
      </c>
      <c r="U59" t="s">
        <v>1062</v>
      </c>
      <c r="V59" t="s">
        <v>1063</v>
      </c>
      <c r="W59" t="s">
        <v>1064</v>
      </c>
      <c r="X59" t="s">
        <v>1065</v>
      </c>
      <c r="Y59" t="s">
        <v>1066</v>
      </c>
      <c r="Z59" t="s">
        <v>1067</v>
      </c>
      <c r="AA59" t="s">
        <v>1068</v>
      </c>
      <c r="AB59" t="s">
        <v>74</v>
      </c>
      <c r="AC59" t="s">
        <v>74</v>
      </c>
      <c r="AD59" t="s">
        <v>74</v>
      </c>
      <c r="AE59" t="s">
        <v>74</v>
      </c>
      <c r="AF59" t="s">
        <v>74</v>
      </c>
      <c r="AG59">
        <v>51</v>
      </c>
      <c r="AH59">
        <v>59</v>
      </c>
      <c r="AI59">
        <v>65</v>
      </c>
      <c r="AJ59">
        <v>0</v>
      </c>
      <c r="AK59">
        <v>12</v>
      </c>
      <c r="AL59" t="s">
        <v>136</v>
      </c>
      <c r="AM59" t="s">
        <v>87</v>
      </c>
      <c r="AN59" t="s">
        <v>137</v>
      </c>
      <c r="AO59" t="s">
        <v>944</v>
      </c>
      <c r="AP59" t="s">
        <v>1000</v>
      </c>
      <c r="AQ59" t="s">
        <v>74</v>
      </c>
      <c r="AR59" t="s">
        <v>945</v>
      </c>
      <c r="AS59" t="s">
        <v>946</v>
      </c>
      <c r="AT59" t="s">
        <v>913</v>
      </c>
      <c r="AU59">
        <v>2004</v>
      </c>
      <c r="AV59">
        <v>16</v>
      </c>
      <c r="AW59">
        <v>1</v>
      </c>
      <c r="AX59" t="s">
        <v>74</v>
      </c>
      <c r="AY59" t="s">
        <v>74</v>
      </c>
      <c r="AZ59" t="s">
        <v>74</v>
      </c>
      <c r="BA59" t="s">
        <v>74</v>
      </c>
      <c r="BB59">
        <v>71</v>
      </c>
      <c r="BC59">
        <v>85</v>
      </c>
      <c r="BD59" t="s">
        <v>74</v>
      </c>
      <c r="BE59" t="s">
        <v>1069</v>
      </c>
      <c r="BF59" t="str">
        <f>HYPERLINK("http://dx.doi.org/10.1017/S095410200400183X","http://dx.doi.org/10.1017/S095410200400183X")</f>
        <v>http://dx.doi.org/10.1017/S095410200400183X</v>
      </c>
      <c r="BG59" t="s">
        <v>74</v>
      </c>
      <c r="BH59" t="s">
        <v>74</v>
      </c>
      <c r="BI59">
        <v>15</v>
      </c>
      <c r="BJ59" t="s">
        <v>948</v>
      </c>
      <c r="BK59" t="s">
        <v>96</v>
      </c>
      <c r="BL59" t="s">
        <v>949</v>
      </c>
      <c r="BM59" t="s">
        <v>950</v>
      </c>
      <c r="BN59" t="s">
        <v>74</v>
      </c>
      <c r="BO59" t="s">
        <v>74</v>
      </c>
      <c r="BP59" t="s">
        <v>74</v>
      </c>
      <c r="BQ59" t="s">
        <v>74</v>
      </c>
      <c r="BR59" t="s">
        <v>99</v>
      </c>
      <c r="BS59" t="s">
        <v>1070</v>
      </c>
      <c r="BT59" t="str">
        <f>HYPERLINK("https%3A%2F%2Fwww.webofscience.com%2Fwos%2Fwoscc%2Ffull-record%2FWOS:000220310700012","View Full Record in Web of Science")</f>
        <v>View Full Record in Web of Science</v>
      </c>
    </row>
    <row r="60" spans="1:72" x14ac:dyDescent="0.15">
      <c r="A60" t="s">
        <v>72</v>
      </c>
      <c r="B60" t="s">
        <v>1071</v>
      </c>
      <c r="C60" t="s">
        <v>74</v>
      </c>
      <c r="D60" t="s">
        <v>74</v>
      </c>
      <c r="E60" t="s">
        <v>74</v>
      </c>
      <c r="F60" t="s">
        <v>1071</v>
      </c>
      <c r="G60" t="s">
        <v>74</v>
      </c>
      <c r="H60" t="s">
        <v>74</v>
      </c>
      <c r="I60" t="s">
        <v>1072</v>
      </c>
      <c r="J60" t="s">
        <v>1073</v>
      </c>
      <c r="K60" t="s">
        <v>74</v>
      </c>
      <c r="L60" t="s">
        <v>74</v>
      </c>
      <c r="M60" t="s">
        <v>77</v>
      </c>
      <c r="N60" t="s">
        <v>78</v>
      </c>
      <c r="O60" t="s">
        <v>74</v>
      </c>
      <c r="P60" t="s">
        <v>74</v>
      </c>
      <c r="Q60" t="s">
        <v>74</v>
      </c>
      <c r="R60" t="s">
        <v>74</v>
      </c>
      <c r="S60" t="s">
        <v>74</v>
      </c>
      <c r="T60" t="s">
        <v>74</v>
      </c>
      <c r="U60" t="s">
        <v>1074</v>
      </c>
      <c r="V60" t="s">
        <v>1075</v>
      </c>
      <c r="W60" t="s">
        <v>1076</v>
      </c>
      <c r="X60" t="s">
        <v>1077</v>
      </c>
      <c r="Y60" t="s">
        <v>1078</v>
      </c>
      <c r="Z60" t="s">
        <v>1079</v>
      </c>
      <c r="AA60" t="s">
        <v>1080</v>
      </c>
      <c r="AB60" t="s">
        <v>1081</v>
      </c>
      <c r="AC60" t="s">
        <v>74</v>
      </c>
      <c r="AD60" t="s">
        <v>74</v>
      </c>
      <c r="AE60" t="s">
        <v>74</v>
      </c>
      <c r="AF60" t="s">
        <v>74</v>
      </c>
      <c r="AG60">
        <v>55</v>
      </c>
      <c r="AH60">
        <v>235</v>
      </c>
      <c r="AI60">
        <v>264</v>
      </c>
      <c r="AJ60">
        <v>1</v>
      </c>
      <c r="AK60">
        <v>67</v>
      </c>
      <c r="AL60" t="s">
        <v>1082</v>
      </c>
      <c r="AM60" t="s">
        <v>364</v>
      </c>
      <c r="AN60" t="s">
        <v>1083</v>
      </c>
      <c r="AO60" t="s">
        <v>1084</v>
      </c>
      <c r="AP60" t="s">
        <v>1085</v>
      </c>
      <c r="AQ60" t="s">
        <v>74</v>
      </c>
      <c r="AR60" t="s">
        <v>1086</v>
      </c>
      <c r="AS60" t="s">
        <v>1087</v>
      </c>
      <c r="AT60" t="s">
        <v>1088</v>
      </c>
      <c r="AU60">
        <v>2004</v>
      </c>
      <c r="AV60">
        <v>43</v>
      </c>
      <c r="AW60">
        <v>7</v>
      </c>
      <c r="AX60" t="s">
        <v>74</v>
      </c>
      <c r="AY60" t="s">
        <v>74</v>
      </c>
      <c r="AZ60" t="s">
        <v>74</v>
      </c>
      <c r="BA60" t="s">
        <v>74</v>
      </c>
      <c r="BB60">
        <v>1589</v>
      </c>
      <c r="BC60">
        <v>1602</v>
      </c>
      <c r="BD60" t="s">
        <v>74</v>
      </c>
      <c r="BE60" t="s">
        <v>1089</v>
      </c>
      <c r="BF60" t="str">
        <f>HYPERLINK("http://dx.doi.org/10.1364/AO.43.001589","http://dx.doi.org/10.1364/AO.43.001589")</f>
        <v>http://dx.doi.org/10.1364/AO.43.001589</v>
      </c>
      <c r="BG60" t="s">
        <v>74</v>
      </c>
      <c r="BH60" t="s">
        <v>74</v>
      </c>
      <c r="BI60">
        <v>14</v>
      </c>
      <c r="BJ60" t="s">
        <v>1090</v>
      </c>
      <c r="BK60" t="s">
        <v>96</v>
      </c>
      <c r="BL60" t="s">
        <v>1090</v>
      </c>
      <c r="BM60" t="s">
        <v>1091</v>
      </c>
      <c r="BN60">
        <v>15015542</v>
      </c>
      <c r="BO60" t="s">
        <v>74</v>
      </c>
      <c r="BP60" t="s">
        <v>74</v>
      </c>
      <c r="BQ60" t="s">
        <v>74</v>
      </c>
      <c r="BR60" t="s">
        <v>99</v>
      </c>
      <c r="BS60" t="s">
        <v>1092</v>
      </c>
      <c r="BT60" t="str">
        <f>HYPERLINK("https%3A%2F%2Fwww.webofscience.com%2Fwos%2Fwoscc%2Ffull-record%2FWOS:000189378600016","View Full Record in Web of Science")</f>
        <v>View Full Record in Web of Science</v>
      </c>
    </row>
    <row r="61" spans="1:72" x14ac:dyDescent="0.15">
      <c r="A61" t="s">
        <v>72</v>
      </c>
      <c r="B61" t="s">
        <v>1093</v>
      </c>
      <c r="C61" t="s">
        <v>74</v>
      </c>
      <c r="D61" t="s">
        <v>74</v>
      </c>
      <c r="E61" t="s">
        <v>74</v>
      </c>
      <c r="F61" t="s">
        <v>1093</v>
      </c>
      <c r="G61" t="s">
        <v>74</v>
      </c>
      <c r="H61" t="s">
        <v>74</v>
      </c>
      <c r="I61" t="s">
        <v>1094</v>
      </c>
      <c r="J61" t="s">
        <v>1095</v>
      </c>
      <c r="K61" t="s">
        <v>74</v>
      </c>
      <c r="L61" t="s">
        <v>74</v>
      </c>
      <c r="M61" t="s">
        <v>77</v>
      </c>
      <c r="N61" t="s">
        <v>311</v>
      </c>
      <c r="O61" t="s">
        <v>1096</v>
      </c>
      <c r="P61" t="s">
        <v>1097</v>
      </c>
      <c r="Q61" t="s">
        <v>1098</v>
      </c>
      <c r="R61" t="s">
        <v>74</v>
      </c>
      <c r="S61" t="s">
        <v>74</v>
      </c>
      <c r="T61" t="s">
        <v>1099</v>
      </c>
      <c r="U61" t="s">
        <v>1100</v>
      </c>
      <c r="V61" t="s">
        <v>1101</v>
      </c>
      <c r="W61" t="s">
        <v>1102</v>
      </c>
      <c r="X61" t="s">
        <v>1103</v>
      </c>
      <c r="Y61" t="s">
        <v>1104</v>
      </c>
      <c r="Z61" t="s">
        <v>1105</v>
      </c>
      <c r="AA61" t="s">
        <v>1106</v>
      </c>
      <c r="AB61" t="s">
        <v>1107</v>
      </c>
      <c r="AC61" t="s">
        <v>74</v>
      </c>
      <c r="AD61" t="s">
        <v>74</v>
      </c>
      <c r="AE61" t="s">
        <v>74</v>
      </c>
      <c r="AF61" t="s">
        <v>74</v>
      </c>
      <c r="AG61">
        <v>42</v>
      </c>
      <c r="AH61">
        <v>49</v>
      </c>
      <c r="AI61">
        <v>65</v>
      </c>
      <c r="AJ61">
        <v>4</v>
      </c>
      <c r="AK61">
        <v>47</v>
      </c>
      <c r="AL61" t="s">
        <v>1108</v>
      </c>
      <c r="AM61" t="s">
        <v>1109</v>
      </c>
      <c r="AN61" t="s">
        <v>1110</v>
      </c>
      <c r="AO61" t="s">
        <v>1111</v>
      </c>
      <c r="AP61" t="s">
        <v>74</v>
      </c>
      <c r="AQ61" t="s">
        <v>74</v>
      </c>
      <c r="AR61" t="s">
        <v>1112</v>
      </c>
      <c r="AS61" t="s">
        <v>1113</v>
      </c>
      <c r="AT61" t="s">
        <v>913</v>
      </c>
      <c r="AU61">
        <v>2004</v>
      </c>
      <c r="AV61">
        <v>66</v>
      </c>
      <c r="AW61">
        <v>1</v>
      </c>
      <c r="AX61" t="s">
        <v>74</v>
      </c>
      <c r="AY61" t="s">
        <v>74</v>
      </c>
      <c r="AZ61" t="s">
        <v>74</v>
      </c>
      <c r="BA61" t="s">
        <v>74</v>
      </c>
      <c r="BB61">
        <v>27</v>
      </c>
      <c r="BC61">
        <v>46</v>
      </c>
      <c r="BD61" t="s">
        <v>74</v>
      </c>
      <c r="BE61" t="s">
        <v>1114</v>
      </c>
      <c r="BF61" t="str">
        <f>HYPERLINK("http://dx.doi.org/10.1007/s00027-003-0691-4","http://dx.doi.org/10.1007/s00027-003-0691-4")</f>
        <v>http://dx.doi.org/10.1007/s00027-003-0691-4</v>
      </c>
      <c r="BG61" t="s">
        <v>74</v>
      </c>
      <c r="BH61" t="s">
        <v>74</v>
      </c>
      <c r="BI61">
        <v>20</v>
      </c>
      <c r="BJ61" t="s">
        <v>1115</v>
      </c>
      <c r="BK61" t="s">
        <v>1116</v>
      </c>
      <c r="BL61" t="s">
        <v>1117</v>
      </c>
      <c r="BM61" t="s">
        <v>1118</v>
      </c>
      <c r="BN61" t="s">
        <v>74</v>
      </c>
      <c r="BO61" t="s">
        <v>74</v>
      </c>
      <c r="BP61" t="s">
        <v>74</v>
      </c>
      <c r="BQ61" t="s">
        <v>74</v>
      </c>
      <c r="BR61" t="s">
        <v>99</v>
      </c>
      <c r="BS61" t="s">
        <v>1119</v>
      </c>
      <c r="BT61" t="str">
        <f>HYPERLINK("https%3A%2F%2Fwww.webofscience.com%2Fwos%2Fwoscc%2Ffull-record%2FWOS:000220347700004","View Full Record in Web of Science")</f>
        <v>View Full Record in Web of Science</v>
      </c>
    </row>
    <row r="62" spans="1:72" x14ac:dyDescent="0.15">
      <c r="A62" t="s">
        <v>72</v>
      </c>
      <c r="B62" t="s">
        <v>1120</v>
      </c>
      <c r="C62" t="s">
        <v>74</v>
      </c>
      <c r="D62" t="s">
        <v>74</v>
      </c>
      <c r="E62" t="s">
        <v>74</v>
      </c>
      <c r="F62" t="s">
        <v>1120</v>
      </c>
      <c r="G62" t="s">
        <v>74</v>
      </c>
      <c r="H62" t="s">
        <v>74</v>
      </c>
      <c r="I62" t="s">
        <v>1121</v>
      </c>
      <c r="J62" t="s">
        <v>1122</v>
      </c>
      <c r="K62" t="s">
        <v>74</v>
      </c>
      <c r="L62" t="s">
        <v>74</v>
      </c>
      <c r="M62" t="s">
        <v>77</v>
      </c>
      <c r="N62" t="s">
        <v>78</v>
      </c>
      <c r="O62" t="s">
        <v>74</v>
      </c>
      <c r="P62" t="s">
        <v>74</v>
      </c>
      <c r="Q62" t="s">
        <v>74</v>
      </c>
      <c r="R62" t="s">
        <v>74</v>
      </c>
      <c r="S62" t="s">
        <v>74</v>
      </c>
      <c r="T62" t="s">
        <v>74</v>
      </c>
      <c r="U62" t="s">
        <v>1123</v>
      </c>
      <c r="V62" t="s">
        <v>1124</v>
      </c>
      <c r="W62" t="s">
        <v>1125</v>
      </c>
      <c r="X62" t="s">
        <v>1126</v>
      </c>
      <c r="Y62" t="s">
        <v>1127</v>
      </c>
      <c r="Z62" t="s">
        <v>1128</v>
      </c>
      <c r="AA62" t="s">
        <v>1129</v>
      </c>
      <c r="AB62" t="s">
        <v>1130</v>
      </c>
      <c r="AC62" t="s">
        <v>74</v>
      </c>
      <c r="AD62" t="s">
        <v>74</v>
      </c>
      <c r="AE62" t="s">
        <v>74</v>
      </c>
      <c r="AF62" t="s">
        <v>74</v>
      </c>
      <c r="AG62">
        <v>73</v>
      </c>
      <c r="AH62">
        <v>116</v>
      </c>
      <c r="AI62">
        <v>135</v>
      </c>
      <c r="AJ62">
        <v>0</v>
      </c>
      <c r="AK62">
        <v>31</v>
      </c>
      <c r="AL62" t="s">
        <v>297</v>
      </c>
      <c r="AM62" t="s">
        <v>298</v>
      </c>
      <c r="AN62" t="s">
        <v>299</v>
      </c>
      <c r="AO62" t="s">
        <v>1131</v>
      </c>
      <c r="AP62" t="s">
        <v>1132</v>
      </c>
      <c r="AQ62" t="s">
        <v>74</v>
      </c>
      <c r="AR62" t="s">
        <v>1133</v>
      </c>
      <c r="AS62" t="s">
        <v>1134</v>
      </c>
      <c r="AT62" t="s">
        <v>913</v>
      </c>
      <c r="AU62">
        <v>2004</v>
      </c>
      <c r="AV62">
        <v>85</v>
      </c>
      <c r="AW62">
        <v>3</v>
      </c>
      <c r="AX62" t="s">
        <v>74</v>
      </c>
      <c r="AY62" t="s">
        <v>74</v>
      </c>
      <c r="AZ62" t="s">
        <v>74</v>
      </c>
      <c r="BA62" t="s">
        <v>74</v>
      </c>
      <c r="BB62">
        <v>409</v>
      </c>
      <c r="BC62" t="s">
        <v>1135</v>
      </c>
      <c r="BD62" t="s">
        <v>74</v>
      </c>
      <c r="BE62" t="s">
        <v>1136</v>
      </c>
      <c r="BF62" t="str">
        <f>HYPERLINK("http://dx.doi.org/10.1175/BAMS-85-3-409","http://dx.doi.org/10.1175/BAMS-85-3-409")</f>
        <v>http://dx.doi.org/10.1175/BAMS-85-3-409</v>
      </c>
      <c r="BG62" t="s">
        <v>74</v>
      </c>
      <c r="BH62" t="s">
        <v>74</v>
      </c>
      <c r="BI62">
        <v>18</v>
      </c>
      <c r="BJ62" t="s">
        <v>186</v>
      </c>
      <c r="BK62" t="s">
        <v>96</v>
      </c>
      <c r="BL62" t="s">
        <v>186</v>
      </c>
      <c r="BM62" t="s">
        <v>1137</v>
      </c>
      <c r="BN62" t="s">
        <v>74</v>
      </c>
      <c r="BO62" t="s">
        <v>1138</v>
      </c>
      <c r="BP62" t="s">
        <v>74</v>
      </c>
      <c r="BQ62" t="s">
        <v>74</v>
      </c>
      <c r="BR62" t="s">
        <v>99</v>
      </c>
      <c r="BS62" t="s">
        <v>1139</v>
      </c>
      <c r="BT62" t="str">
        <f>HYPERLINK("https%3A%2F%2Fwww.webofscience.com%2Fwos%2Fwoscc%2Ffull-record%2FWOS:000220608400022","View Full Record in Web of Science")</f>
        <v>View Full Record in Web of Science</v>
      </c>
    </row>
    <row r="63" spans="1:72" x14ac:dyDescent="0.15">
      <c r="A63" t="s">
        <v>72</v>
      </c>
      <c r="B63" t="s">
        <v>1140</v>
      </c>
      <c r="C63" t="s">
        <v>74</v>
      </c>
      <c r="D63" t="s">
        <v>74</v>
      </c>
      <c r="E63" t="s">
        <v>74</v>
      </c>
      <c r="F63" t="s">
        <v>1140</v>
      </c>
      <c r="G63" t="s">
        <v>74</v>
      </c>
      <c r="H63" t="s">
        <v>74</v>
      </c>
      <c r="I63" t="s">
        <v>1141</v>
      </c>
      <c r="J63" t="s">
        <v>1142</v>
      </c>
      <c r="K63" t="s">
        <v>74</v>
      </c>
      <c r="L63" t="s">
        <v>74</v>
      </c>
      <c r="M63" t="s">
        <v>77</v>
      </c>
      <c r="N63" t="s">
        <v>78</v>
      </c>
      <c r="O63" t="s">
        <v>74</v>
      </c>
      <c r="P63" t="s">
        <v>74</v>
      </c>
      <c r="Q63" t="s">
        <v>74</v>
      </c>
      <c r="R63" t="s">
        <v>74</v>
      </c>
      <c r="S63" t="s">
        <v>74</v>
      </c>
      <c r="T63" t="s">
        <v>1143</v>
      </c>
      <c r="U63" t="s">
        <v>1144</v>
      </c>
      <c r="V63" t="s">
        <v>1145</v>
      </c>
      <c r="W63" t="s">
        <v>1146</v>
      </c>
      <c r="X63" t="s">
        <v>1147</v>
      </c>
      <c r="Y63" t="s">
        <v>1148</v>
      </c>
      <c r="Z63" t="s">
        <v>1149</v>
      </c>
      <c r="AA63" t="s">
        <v>74</v>
      </c>
      <c r="AB63" t="s">
        <v>1150</v>
      </c>
      <c r="AC63" t="s">
        <v>74</v>
      </c>
      <c r="AD63" t="s">
        <v>74</v>
      </c>
      <c r="AE63" t="s">
        <v>74</v>
      </c>
      <c r="AF63" t="s">
        <v>74</v>
      </c>
      <c r="AG63">
        <v>29</v>
      </c>
      <c r="AH63">
        <v>33</v>
      </c>
      <c r="AI63">
        <v>38</v>
      </c>
      <c r="AJ63">
        <v>1</v>
      </c>
      <c r="AK63">
        <v>31</v>
      </c>
      <c r="AL63" t="s">
        <v>213</v>
      </c>
      <c r="AM63" t="s">
        <v>214</v>
      </c>
      <c r="AN63" t="s">
        <v>215</v>
      </c>
      <c r="AO63" t="s">
        <v>1151</v>
      </c>
      <c r="AP63" t="s">
        <v>74</v>
      </c>
      <c r="AQ63" t="s">
        <v>74</v>
      </c>
      <c r="AR63" t="s">
        <v>1142</v>
      </c>
      <c r="AS63" t="s">
        <v>1152</v>
      </c>
      <c r="AT63" t="s">
        <v>913</v>
      </c>
      <c r="AU63">
        <v>2004</v>
      </c>
      <c r="AV63">
        <v>54</v>
      </c>
      <c r="AW63">
        <v>11</v>
      </c>
      <c r="AX63" t="s">
        <v>74</v>
      </c>
      <c r="AY63" t="s">
        <v>74</v>
      </c>
      <c r="AZ63" t="s">
        <v>74</v>
      </c>
      <c r="BA63" t="s">
        <v>74</v>
      </c>
      <c r="BB63">
        <v>1653</v>
      </c>
      <c r="BC63">
        <v>1662</v>
      </c>
      <c r="BD63" t="s">
        <v>74</v>
      </c>
      <c r="BE63" t="s">
        <v>1153</v>
      </c>
      <c r="BF63" t="str">
        <f>HYPERLINK("http://dx.doi.org/10.1016/j.chemosphere.2003.09.029","http://dx.doi.org/10.1016/j.chemosphere.2003.09.029")</f>
        <v>http://dx.doi.org/10.1016/j.chemosphere.2003.09.029</v>
      </c>
      <c r="BG63" t="s">
        <v>74</v>
      </c>
      <c r="BH63" t="s">
        <v>74</v>
      </c>
      <c r="BI63">
        <v>10</v>
      </c>
      <c r="BJ63" t="s">
        <v>1154</v>
      </c>
      <c r="BK63" t="s">
        <v>96</v>
      </c>
      <c r="BL63" t="s">
        <v>144</v>
      </c>
      <c r="BM63" t="s">
        <v>1155</v>
      </c>
      <c r="BN63">
        <v>14675844</v>
      </c>
      <c r="BO63" t="s">
        <v>74</v>
      </c>
      <c r="BP63" t="s">
        <v>74</v>
      </c>
      <c r="BQ63" t="s">
        <v>74</v>
      </c>
      <c r="BR63" t="s">
        <v>99</v>
      </c>
      <c r="BS63" t="s">
        <v>1156</v>
      </c>
      <c r="BT63" t="str">
        <f>HYPERLINK("https%3A%2F%2Fwww.webofscience.com%2Fwos%2Fwoscc%2Ffull-record%2FWOS:000189132000008","View Full Record in Web of Science")</f>
        <v>View Full Record in Web of Science</v>
      </c>
    </row>
    <row r="64" spans="1:72" x14ac:dyDescent="0.15">
      <c r="A64" t="s">
        <v>72</v>
      </c>
      <c r="B64" t="s">
        <v>1157</v>
      </c>
      <c r="C64" t="s">
        <v>74</v>
      </c>
      <c r="D64" t="s">
        <v>74</v>
      </c>
      <c r="E64" t="s">
        <v>74</v>
      </c>
      <c r="F64" t="s">
        <v>1157</v>
      </c>
      <c r="G64" t="s">
        <v>74</v>
      </c>
      <c r="H64" t="s">
        <v>74</v>
      </c>
      <c r="I64" t="s">
        <v>1158</v>
      </c>
      <c r="J64" t="s">
        <v>1159</v>
      </c>
      <c r="K64" t="s">
        <v>74</v>
      </c>
      <c r="L64" t="s">
        <v>74</v>
      </c>
      <c r="M64" t="s">
        <v>77</v>
      </c>
      <c r="N64" t="s">
        <v>78</v>
      </c>
      <c r="O64" t="s">
        <v>74</v>
      </c>
      <c r="P64" t="s">
        <v>74</v>
      </c>
      <c r="Q64" t="s">
        <v>74</v>
      </c>
      <c r="R64" t="s">
        <v>74</v>
      </c>
      <c r="S64" t="s">
        <v>74</v>
      </c>
      <c r="T64" t="s">
        <v>1160</v>
      </c>
      <c r="U64" t="s">
        <v>1161</v>
      </c>
      <c r="V64" t="s">
        <v>1162</v>
      </c>
      <c r="W64" t="s">
        <v>1163</v>
      </c>
      <c r="X64" t="s">
        <v>1164</v>
      </c>
      <c r="Y64" t="s">
        <v>1165</v>
      </c>
      <c r="Z64" t="s">
        <v>1166</v>
      </c>
      <c r="AA64" t="s">
        <v>74</v>
      </c>
      <c r="AB64" t="s">
        <v>74</v>
      </c>
      <c r="AC64" t="s">
        <v>74</v>
      </c>
      <c r="AD64" t="s">
        <v>74</v>
      </c>
      <c r="AE64" t="s">
        <v>74</v>
      </c>
      <c r="AF64" t="s">
        <v>74</v>
      </c>
      <c r="AG64">
        <v>19</v>
      </c>
      <c r="AH64">
        <v>26</v>
      </c>
      <c r="AI64">
        <v>34</v>
      </c>
      <c r="AJ64">
        <v>0</v>
      </c>
      <c r="AK64">
        <v>14</v>
      </c>
      <c r="AL64" t="s">
        <v>906</v>
      </c>
      <c r="AM64" t="s">
        <v>907</v>
      </c>
      <c r="AN64" t="s">
        <v>908</v>
      </c>
      <c r="AO64" t="s">
        <v>1167</v>
      </c>
      <c r="AP64" t="s">
        <v>1168</v>
      </c>
      <c r="AQ64" t="s">
        <v>74</v>
      </c>
      <c r="AR64" t="s">
        <v>1169</v>
      </c>
      <c r="AS64" t="s">
        <v>1170</v>
      </c>
      <c r="AT64" t="s">
        <v>913</v>
      </c>
      <c r="AU64">
        <v>2004</v>
      </c>
      <c r="AV64">
        <v>49</v>
      </c>
      <c r="AW64">
        <v>6</v>
      </c>
      <c r="AX64" t="s">
        <v>74</v>
      </c>
      <c r="AY64" t="s">
        <v>74</v>
      </c>
      <c r="AZ64" t="s">
        <v>74</v>
      </c>
      <c r="BA64" t="s">
        <v>74</v>
      </c>
      <c r="BB64">
        <v>607</v>
      </c>
      <c r="BC64">
        <v>611</v>
      </c>
      <c r="BD64" t="s">
        <v>74</v>
      </c>
      <c r="BE64" t="s">
        <v>1171</v>
      </c>
      <c r="BF64" t="str">
        <f>HYPERLINK("http://dx.doi.org/10.1360/03wd0419","http://dx.doi.org/10.1360/03wd0419")</f>
        <v>http://dx.doi.org/10.1360/03wd0419</v>
      </c>
      <c r="BG64" t="s">
        <v>74</v>
      </c>
      <c r="BH64" t="s">
        <v>74</v>
      </c>
      <c r="BI64">
        <v>5</v>
      </c>
      <c r="BJ64" t="s">
        <v>454</v>
      </c>
      <c r="BK64" t="s">
        <v>96</v>
      </c>
      <c r="BL64" t="s">
        <v>455</v>
      </c>
      <c r="BM64" t="s">
        <v>1172</v>
      </c>
      <c r="BN64" t="s">
        <v>74</v>
      </c>
      <c r="BO64" t="s">
        <v>74</v>
      </c>
      <c r="BP64" t="s">
        <v>74</v>
      </c>
      <c r="BQ64" t="s">
        <v>74</v>
      </c>
      <c r="BR64" t="s">
        <v>99</v>
      </c>
      <c r="BS64" t="s">
        <v>1173</v>
      </c>
      <c r="BT64" t="str">
        <f>HYPERLINK("https%3A%2F%2Fwww.webofscience.com%2Fwos%2Fwoscc%2Ffull-record%2FWOS:000220723800014","View Full Record in Web of Science")</f>
        <v>View Full Record in Web of Science</v>
      </c>
    </row>
    <row r="65" spans="1:72" x14ac:dyDescent="0.15">
      <c r="A65" t="s">
        <v>72</v>
      </c>
      <c r="B65" t="s">
        <v>1174</v>
      </c>
      <c r="C65" t="s">
        <v>74</v>
      </c>
      <c r="D65" t="s">
        <v>74</v>
      </c>
      <c r="E65" t="s">
        <v>74</v>
      </c>
      <c r="F65" t="s">
        <v>1174</v>
      </c>
      <c r="G65" t="s">
        <v>74</v>
      </c>
      <c r="H65" t="s">
        <v>74</v>
      </c>
      <c r="I65" t="s">
        <v>1175</v>
      </c>
      <c r="J65" t="s">
        <v>1176</v>
      </c>
      <c r="K65" t="s">
        <v>74</v>
      </c>
      <c r="L65" t="s">
        <v>74</v>
      </c>
      <c r="M65" t="s">
        <v>77</v>
      </c>
      <c r="N65" t="s">
        <v>78</v>
      </c>
      <c r="O65" t="s">
        <v>74</v>
      </c>
      <c r="P65" t="s">
        <v>74</v>
      </c>
      <c r="Q65" t="s">
        <v>74</v>
      </c>
      <c r="R65" t="s">
        <v>74</v>
      </c>
      <c r="S65" t="s">
        <v>74</v>
      </c>
      <c r="T65" t="s">
        <v>1177</v>
      </c>
      <c r="U65" t="s">
        <v>1178</v>
      </c>
      <c r="V65" t="s">
        <v>1179</v>
      </c>
      <c r="W65" t="s">
        <v>1180</v>
      </c>
      <c r="X65" t="s">
        <v>1181</v>
      </c>
      <c r="Y65" t="s">
        <v>1182</v>
      </c>
      <c r="Z65" t="s">
        <v>1183</v>
      </c>
      <c r="AA65" t="s">
        <v>74</v>
      </c>
      <c r="AB65" t="s">
        <v>74</v>
      </c>
      <c r="AC65" t="s">
        <v>74</v>
      </c>
      <c r="AD65" t="s">
        <v>74</v>
      </c>
      <c r="AE65" t="s">
        <v>74</v>
      </c>
      <c r="AF65" t="s">
        <v>74</v>
      </c>
      <c r="AG65">
        <v>34</v>
      </c>
      <c r="AH65">
        <v>28</v>
      </c>
      <c r="AI65">
        <v>30</v>
      </c>
      <c r="AJ65">
        <v>1</v>
      </c>
      <c r="AK65">
        <v>7</v>
      </c>
      <c r="AL65" t="s">
        <v>235</v>
      </c>
      <c r="AM65" t="s">
        <v>87</v>
      </c>
      <c r="AN65" t="s">
        <v>236</v>
      </c>
      <c r="AO65" t="s">
        <v>1184</v>
      </c>
      <c r="AP65" t="s">
        <v>1185</v>
      </c>
      <c r="AQ65" t="s">
        <v>74</v>
      </c>
      <c r="AR65" t="s">
        <v>1186</v>
      </c>
      <c r="AS65" t="s">
        <v>1187</v>
      </c>
      <c r="AT65" t="s">
        <v>913</v>
      </c>
      <c r="AU65">
        <v>2004</v>
      </c>
      <c r="AV65">
        <v>137</v>
      </c>
      <c r="AW65">
        <v>3</v>
      </c>
      <c r="AX65" t="s">
        <v>74</v>
      </c>
      <c r="AY65" t="s">
        <v>74</v>
      </c>
      <c r="AZ65" t="s">
        <v>74</v>
      </c>
      <c r="BA65" t="s">
        <v>74</v>
      </c>
      <c r="BB65">
        <v>341</v>
      </c>
      <c r="BC65">
        <v>350</v>
      </c>
      <c r="BD65" t="s">
        <v>74</v>
      </c>
      <c r="BE65" t="s">
        <v>1188</v>
      </c>
      <c r="BF65" t="str">
        <f>HYPERLINK("http://dx.doi.org/10.1016/j.cbpc.2003.12.008","http://dx.doi.org/10.1016/j.cbpc.2003.12.008")</f>
        <v>http://dx.doi.org/10.1016/j.cbpc.2003.12.008</v>
      </c>
      <c r="BG65" t="s">
        <v>74</v>
      </c>
      <c r="BH65" t="s">
        <v>74</v>
      </c>
      <c r="BI65">
        <v>10</v>
      </c>
      <c r="BJ65" t="s">
        <v>1189</v>
      </c>
      <c r="BK65" t="s">
        <v>96</v>
      </c>
      <c r="BL65" t="s">
        <v>1189</v>
      </c>
      <c r="BM65" t="s">
        <v>1190</v>
      </c>
      <c r="BN65">
        <v>15050521</v>
      </c>
      <c r="BO65" t="s">
        <v>156</v>
      </c>
      <c r="BP65" t="s">
        <v>74</v>
      </c>
      <c r="BQ65" t="s">
        <v>74</v>
      </c>
      <c r="BR65" t="s">
        <v>99</v>
      </c>
      <c r="BS65" t="s">
        <v>1191</v>
      </c>
      <c r="BT65" t="str">
        <f>HYPERLINK("https%3A%2F%2Fwww.webofscience.com%2Fwos%2Fwoscc%2Ffull-record%2FWOS:000220681500006","View Full Record in Web of Science")</f>
        <v>View Full Record in Web of Science</v>
      </c>
    </row>
    <row r="66" spans="1:72" x14ac:dyDescent="0.15">
      <c r="A66" t="s">
        <v>72</v>
      </c>
      <c r="B66" t="s">
        <v>1192</v>
      </c>
      <c r="C66" t="s">
        <v>74</v>
      </c>
      <c r="D66" t="s">
        <v>74</v>
      </c>
      <c r="E66" t="s">
        <v>74</v>
      </c>
      <c r="F66" t="s">
        <v>1192</v>
      </c>
      <c r="G66" t="s">
        <v>74</v>
      </c>
      <c r="H66" t="s">
        <v>74</v>
      </c>
      <c r="I66" t="s">
        <v>1193</v>
      </c>
      <c r="J66" t="s">
        <v>1176</v>
      </c>
      <c r="K66" t="s">
        <v>74</v>
      </c>
      <c r="L66" t="s">
        <v>74</v>
      </c>
      <c r="M66" t="s">
        <v>77</v>
      </c>
      <c r="N66" t="s">
        <v>78</v>
      </c>
      <c r="O66" t="s">
        <v>74</v>
      </c>
      <c r="P66" t="s">
        <v>74</v>
      </c>
      <c r="Q66" t="s">
        <v>74</v>
      </c>
      <c r="R66" t="s">
        <v>74</v>
      </c>
      <c r="S66" t="s">
        <v>74</v>
      </c>
      <c r="T66" t="s">
        <v>1194</v>
      </c>
      <c r="U66" t="s">
        <v>1195</v>
      </c>
      <c r="V66" t="s">
        <v>1196</v>
      </c>
      <c r="W66" t="s">
        <v>1197</v>
      </c>
      <c r="X66" t="s">
        <v>1198</v>
      </c>
      <c r="Y66" t="s">
        <v>1199</v>
      </c>
      <c r="Z66" t="s">
        <v>1200</v>
      </c>
      <c r="AA66" t="s">
        <v>1201</v>
      </c>
      <c r="AB66" t="s">
        <v>1202</v>
      </c>
      <c r="AC66" t="s">
        <v>74</v>
      </c>
      <c r="AD66" t="s">
        <v>74</v>
      </c>
      <c r="AE66" t="s">
        <v>74</v>
      </c>
      <c r="AF66" t="s">
        <v>74</v>
      </c>
      <c r="AG66">
        <v>62</v>
      </c>
      <c r="AH66">
        <v>11</v>
      </c>
      <c r="AI66">
        <v>12</v>
      </c>
      <c r="AJ66">
        <v>1</v>
      </c>
      <c r="AK66">
        <v>4</v>
      </c>
      <c r="AL66" t="s">
        <v>235</v>
      </c>
      <c r="AM66" t="s">
        <v>87</v>
      </c>
      <c r="AN66" t="s">
        <v>1203</v>
      </c>
      <c r="AO66" t="s">
        <v>1184</v>
      </c>
      <c r="AP66" t="s">
        <v>1185</v>
      </c>
      <c r="AQ66" t="s">
        <v>74</v>
      </c>
      <c r="AR66" t="s">
        <v>1186</v>
      </c>
      <c r="AS66" t="s">
        <v>1187</v>
      </c>
      <c r="AT66" t="s">
        <v>913</v>
      </c>
      <c r="AU66">
        <v>2004</v>
      </c>
      <c r="AV66">
        <v>137</v>
      </c>
      <c r="AW66">
        <v>3</v>
      </c>
      <c r="AX66" t="s">
        <v>74</v>
      </c>
      <c r="AY66" t="s">
        <v>74</v>
      </c>
      <c r="AZ66" t="s">
        <v>74</v>
      </c>
      <c r="BA66" t="s">
        <v>74</v>
      </c>
      <c r="BB66">
        <v>391</v>
      </c>
      <c r="BC66">
        <v>400</v>
      </c>
      <c r="BD66" t="s">
        <v>74</v>
      </c>
      <c r="BE66" t="s">
        <v>1204</v>
      </c>
      <c r="BF66" t="str">
        <f>HYPERLINK("http://dx.doi.org/10.1016/j.cbpc.2004.01.001","http://dx.doi.org/10.1016/j.cbpc.2004.01.001")</f>
        <v>http://dx.doi.org/10.1016/j.cbpc.2004.01.001</v>
      </c>
      <c r="BG66" t="s">
        <v>74</v>
      </c>
      <c r="BH66" t="s">
        <v>74</v>
      </c>
      <c r="BI66">
        <v>10</v>
      </c>
      <c r="BJ66" t="s">
        <v>1189</v>
      </c>
      <c r="BK66" t="s">
        <v>96</v>
      </c>
      <c r="BL66" t="s">
        <v>1189</v>
      </c>
      <c r="BM66" t="s">
        <v>1190</v>
      </c>
      <c r="BN66">
        <v>15050526</v>
      </c>
      <c r="BO66" t="s">
        <v>74</v>
      </c>
      <c r="BP66" t="s">
        <v>74</v>
      </c>
      <c r="BQ66" t="s">
        <v>74</v>
      </c>
      <c r="BR66" t="s">
        <v>99</v>
      </c>
      <c r="BS66" t="s">
        <v>1205</v>
      </c>
      <c r="BT66" t="str">
        <f>HYPERLINK("https%3A%2F%2Fwww.webofscience.com%2Fwos%2Fwoscc%2Ffull-record%2FWOS:000220681500011","View Full Record in Web of Science")</f>
        <v>View Full Record in Web of Science</v>
      </c>
    </row>
    <row r="67" spans="1:72" x14ac:dyDescent="0.15">
      <c r="A67" t="s">
        <v>72</v>
      </c>
      <c r="B67" t="s">
        <v>1206</v>
      </c>
      <c r="C67" t="s">
        <v>74</v>
      </c>
      <c r="D67" t="s">
        <v>74</v>
      </c>
      <c r="E67" t="s">
        <v>74</v>
      </c>
      <c r="F67" t="s">
        <v>1206</v>
      </c>
      <c r="G67" t="s">
        <v>74</v>
      </c>
      <c r="H67" t="s">
        <v>74</v>
      </c>
      <c r="I67" t="s">
        <v>1207</v>
      </c>
      <c r="J67" t="s">
        <v>1208</v>
      </c>
      <c r="K67" t="s">
        <v>74</v>
      </c>
      <c r="L67" t="s">
        <v>74</v>
      </c>
      <c r="M67" t="s">
        <v>77</v>
      </c>
      <c r="N67" t="s">
        <v>78</v>
      </c>
      <c r="O67" t="s">
        <v>74</v>
      </c>
      <c r="P67" t="s">
        <v>74</v>
      </c>
      <c r="Q67" t="s">
        <v>74</v>
      </c>
      <c r="R67" t="s">
        <v>74</v>
      </c>
      <c r="S67" t="s">
        <v>74</v>
      </c>
      <c r="T67" t="s">
        <v>1209</v>
      </c>
      <c r="U67" t="s">
        <v>74</v>
      </c>
      <c r="V67" t="s">
        <v>1210</v>
      </c>
      <c r="W67" t="s">
        <v>1211</v>
      </c>
      <c r="X67" t="s">
        <v>1212</v>
      </c>
      <c r="Y67" t="s">
        <v>1213</v>
      </c>
      <c r="Z67" t="s">
        <v>1214</v>
      </c>
      <c r="AA67" t="s">
        <v>1215</v>
      </c>
      <c r="AB67" t="s">
        <v>74</v>
      </c>
      <c r="AC67" t="s">
        <v>74</v>
      </c>
      <c r="AD67" t="s">
        <v>74</v>
      </c>
      <c r="AE67" t="s">
        <v>74</v>
      </c>
      <c r="AF67" t="s">
        <v>74</v>
      </c>
      <c r="AG67">
        <v>9</v>
      </c>
      <c r="AH67">
        <v>48</v>
      </c>
      <c r="AI67">
        <v>48</v>
      </c>
      <c r="AJ67">
        <v>0</v>
      </c>
      <c r="AK67">
        <v>2</v>
      </c>
      <c r="AL67" t="s">
        <v>86</v>
      </c>
      <c r="AM67" t="s">
        <v>87</v>
      </c>
      <c r="AN67" t="s">
        <v>88</v>
      </c>
      <c r="AO67" t="s">
        <v>1216</v>
      </c>
      <c r="AP67" t="s">
        <v>74</v>
      </c>
      <c r="AQ67" t="s">
        <v>74</v>
      </c>
      <c r="AR67" t="s">
        <v>1217</v>
      </c>
      <c r="AS67" t="s">
        <v>1218</v>
      </c>
      <c r="AT67" t="s">
        <v>913</v>
      </c>
      <c r="AU67">
        <v>2004</v>
      </c>
      <c r="AV67">
        <v>45</v>
      </c>
      <c r="AW67">
        <v>5</v>
      </c>
      <c r="AX67" t="s">
        <v>74</v>
      </c>
      <c r="AY67" t="s">
        <v>74</v>
      </c>
      <c r="AZ67" t="s">
        <v>74</v>
      </c>
      <c r="BA67" t="s">
        <v>74</v>
      </c>
      <c r="BB67">
        <v>696</v>
      </c>
      <c r="BC67">
        <v>702</v>
      </c>
      <c r="BD67" t="s">
        <v>74</v>
      </c>
      <c r="BE67" t="s">
        <v>1219</v>
      </c>
      <c r="BF67" t="str">
        <f>HYPERLINK("http://dx.doi.org/10.1007/s00254-003-0925-8","http://dx.doi.org/10.1007/s00254-003-0925-8")</f>
        <v>http://dx.doi.org/10.1007/s00254-003-0925-8</v>
      </c>
      <c r="BG67" t="s">
        <v>74</v>
      </c>
      <c r="BH67" t="s">
        <v>74</v>
      </c>
      <c r="BI67">
        <v>7</v>
      </c>
      <c r="BJ67" t="s">
        <v>1220</v>
      </c>
      <c r="BK67" t="s">
        <v>96</v>
      </c>
      <c r="BL67" t="s">
        <v>1221</v>
      </c>
      <c r="BM67" t="s">
        <v>1222</v>
      </c>
      <c r="BN67" t="s">
        <v>74</v>
      </c>
      <c r="BO67" t="s">
        <v>74</v>
      </c>
      <c r="BP67" t="s">
        <v>74</v>
      </c>
      <c r="BQ67" t="s">
        <v>74</v>
      </c>
      <c r="BR67" t="s">
        <v>99</v>
      </c>
      <c r="BS67" t="s">
        <v>1223</v>
      </c>
      <c r="BT67" t="str">
        <f>HYPERLINK("https%3A%2F%2Fwww.webofscience.com%2Fwos%2Fwoscc%2Ffull-record%2FWOS:000220519700011","View Full Record in Web of Science")</f>
        <v>View Full Record in Web of Science</v>
      </c>
    </row>
    <row r="68" spans="1:72" x14ac:dyDescent="0.15">
      <c r="A68" t="s">
        <v>72</v>
      </c>
      <c r="B68" t="s">
        <v>1224</v>
      </c>
      <c r="C68" t="s">
        <v>74</v>
      </c>
      <c r="D68" t="s">
        <v>74</v>
      </c>
      <c r="E68" t="s">
        <v>74</v>
      </c>
      <c r="F68" t="s">
        <v>1224</v>
      </c>
      <c r="G68" t="s">
        <v>74</v>
      </c>
      <c r="H68" t="s">
        <v>74</v>
      </c>
      <c r="I68" t="s">
        <v>1225</v>
      </c>
      <c r="J68" t="s">
        <v>1226</v>
      </c>
      <c r="K68" t="s">
        <v>74</v>
      </c>
      <c r="L68" t="s">
        <v>74</v>
      </c>
      <c r="M68" t="s">
        <v>77</v>
      </c>
      <c r="N68" t="s">
        <v>78</v>
      </c>
      <c r="O68" t="s">
        <v>74</v>
      </c>
      <c r="P68" t="s">
        <v>74</v>
      </c>
      <c r="Q68" t="s">
        <v>74</v>
      </c>
      <c r="R68" t="s">
        <v>74</v>
      </c>
      <c r="S68" t="s">
        <v>74</v>
      </c>
      <c r="T68" t="s">
        <v>74</v>
      </c>
      <c r="U68" t="s">
        <v>1227</v>
      </c>
      <c r="V68" t="s">
        <v>1228</v>
      </c>
      <c r="W68" t="s">
        <v>1229</v>
      </c>
      <c r="X68" t="s">
        <v>1230</v>
      </c>
      <c r="Y68" t="s">
        <v>1231</v>
      </c>
      <c r="Z68" t="s">
        <v>1232</v>
      </c>
      <c r="AA68" t="s">
        <v>1233</v>
      </c>
      <c r="AB68" t="s">
        <v>1234</v>
      </c>
      <c r="AC68" t="s">
        <v>74</v>
      </c>
      <c r="AD68" t="s">
        <v>74</v>
      </c>
      <c r="AE68" t="s">
        <v>74</v>
      </c>
      <c r="AF68" t="s">
        <v>74</v>
      </c>
      <c r="AG68">
        <v>45</v>
      </c>
      <c r="AH68">
        <v>197</v>
      </c>
      <c r="AI68">
        <v>219</v>
      </c>
      <c r="AJ68">
        <v>3</v>
      </c>
      <c r="AK68">
        <v>29</v>
      </c>
      <c r="AL68" t="s">
        <v>1235</v>
      </c>
      <c r="AM68" t="s">
        <v>214</v>
      </c>
      <c r="AN68" t="s">
        <v>1236</v>
      </c>
      <c r="AO68" t="s">
        <v>1237</v>
      </c>
      <c r="AP68" t="s">
        <v>74</v>
      </c>
      <c r="AQ68" t="s">
        <v>74</v>
      </c>
      <c r="AR68" t="s">
        <v>1238</v>
      </c>
      <c r="AS68" t="s">
        <v>1239</v>
      </c>
      <c r="AT68" t="s">
        <v>913</v>
      </c>
      <c r="AU68">
        <v>2004</v>
      </c>
      <c r="AV68">
        <v>6</v>
      </c>
      <c r="AW68">
        <v>3</v>
      </c>
      <c r="AX68" t="s">
        <v>74</v>
      </c>
      <c r="AY68" t="s">
        <v>74</v>
      </c>
      <c r="AZ68" t="s">
        <v>74</v>
      </c>
      <c r="BA68" t="s">
        <v>74</v>
      </c>
      <c r="BB68">
        <v>288</v>
      </c>
      <c r="BC68">
        <v>300</v>
      </c>
      <c r="BD68" t="s">
        <v>74</v>
      </c>
      <c r="BE68" t="s">
        <v>1240</v>
      </c>
      <c r="BF68" t="str">
        <f>HYPERLINK("http://dx.doi.org/10.1111/j.1462-2920.2004.00570.x","http://dx.doi.org/10.1111/j.1462-2920.2004.00570.x")</f>
        <v>http://dx.doi.org/10.1111/j.1462-2920.2004.00570.x</v>
      </c>
      <c r="BG68" t="s">
        <v>74</v>
      </c>
      <c r="BH68" t="s">
        <v>74</v>
      </c>
      <c r="BI68">
        <v>13</v>
      </c>
      <c r="BJ68" t="s">
        <v>743</v>
      </c>
      <c r="BK68" t="s">
        <v>96</v>
      </c>
      <c r="BL68" t="s">
        <v>743</v>
      </c>
      <c r="BM68" t="s">
        <v>1241</v>
      </c>
      <c r="BN68">
        <v>14871212</v>
      </c>
      <c r="BO68" t="s">
        <v>74</v>
      </c>
      <c r="BP68" t="s">
        <v>74</v>
      </c>
      <c r="BQ68" t="s">
        <v>74</v>
      </c>
      <c r="BR68" t="s">
        <v>99</v>
      </c>
      <c r="BS68" t="s">
        <v>1242</v>
      </c>
      <c r="BT68" t="str">
        <f>HYPERLINK("https%3A%2F%2Fwww.webofscience.com%2Fwos%2Fwoscc%2Ffull-record%2FWOS:000188820700010","View Full Record in Web of Science")</f>
        <v>View Full Record in Web of Science</v>
      </c>
    </row>
    <row r="69" spans="1:72" x14ac:dyDescent="0.15">
      <c r="A69" t="s">
        <v>72</v>
      </c>
      <c r="B69" t="s">
        <v>1243</v>
      </c>
      <c r="C69" t="s">
        <v>74</v>
      </c>
      <c r="D69" t="s">
        <v>74</v>
      </c>
      <c r="E69" t="s">
        <v>74</v>
      </c>
      <c r="F69" t="s">
        <v>1243</v>
      </c>
      <c r="G69" t="s">
        <v>74</v>
      </c>
      <c r="H69" t="s">
        <v>74</v>
      </c>
      <c r="I69" t="s">
        <v>1244</v>
      </c>
      <c r="J69" t="s">
        <v>1245</v>
      </c>
      <c r="K69" t="s">
        <v>74</v>
      </c>
      <c r="L69" t="s">
        <v>74</v>
      </c>
      <c r="M69" t="s">
        <v>77</v>
      </c>
      <c r="N69" t="s">
        <v>268</v>
      </c>
      <c r="O69" t="s">
        <v>74</v>
      </c>
      <c r="P69" t="s">
        <v>74</v>
      </c>
      <c r="Q69" t="s">
        <v>74</v>
      </c>
      <c r="R69" t="s">
        <v>74</v>
      </c>
      <c r="S69" t="s">
        <v>74</v>
      </c>
      <c r="T69" t="s">
        <v>74</v>
      </c>
      <c r="U69" t="s">
        <v>1246</v>
      </c>
      <c r="V69" t="s">
        <v>1247</v>
      </c>
      <c r="W69" t="s">
        <v>1248</v>
      </c>
      <c r="X69" t="s">
        <v>1249</v>
      </c>
      <c r="Y69" t="s">
        <v>1250</v>
      </c>
      <c r="Z69" t="s">
        <v>1251</v>
      </c>
      <c r="AA69" t="s">
        <v>1252</v>
      </c>
      <c r="AB69" t="s">
        <v>1253</v>
      </c>
      <c r="AC69" t="s">
        <v>74</v>
      </c>
      <c r="AD69" t="s">
        <v>74</v>
      </c>
      <c r="AE69" t="s">
        <v>74</v>
      </c>
      <c r="AF69" t="s">
        <v>74</v>
      </c>
      <c r="AG69">
        <v>83</v>
      </c>
      <c r="AH69">
        <v>212</v>
      </c>
      <c r="AI69">
        <v>233</v>
      </c>
      <c r="AJ69">
        <v>1</v>
      </c>
      <c r="AK69">
        <v>63</v>
      </c>
      <c r="AL69" t="s">
        <v>1254</v>
      </c>
      <c r="AM69" t="s">
        <v>364</v>
      </c>
      <c r="AN69" t="s">
        <v>1255</v>
      </c>
      <c r="AO69" t="s">
        <v>1256</v>
      </c>
      <c r="AP69" t="s">
        <v>1257</v>
      </c>
      <c r="AQ69" t="s">
        <v>74</v>
      </c>
      <c r="AR69" t="s">
        <v>1258</v>
      </c>
      <c r="AS69" t="s">
        <v>1259</v>
      </c>
      <c r="AT69" t="s">
        <v>1088</v>
      </c>
      <c r="AU69">
        <v>2004</v>
      </c>
      <c r="AV69">
        <v>38</v>
      </c>
      <c r="AW69">
        <v>5</v>
      </c>
      <c r="AX69" t="s">
        <v>74</v>
      </c>
      <c r="AY69" t="s">
        <v>74</v>
      </c>
      <c r="AZ69" t="s">
        <v>74</v>
      </c>
      <c r="BA69" t="s">
        <v>74</v>
      </c>
      <c r="BB69">
        <v>1265</v>
      </c>
      <c r="BC69">
        <v>1274</v>
      </c>
      <c r="BD69" t="s">
        <v>74</v>
      </c>
      <c r="BE69" t="s">
        <v>1260</v>
      </c>
      <c r="BF69" t="str">
        <f>HYPERLINK("http://dx.doi.org/10.1021/es0305149","http://dx.doi.org/10.1021/es0305149")</f>
        <v>http://dx.doi.org/10.1021/es0305149</v>
      </c>
      <c r="BG69" t="s">
        <v>74</v>
      </c>
      <c r="BH69" t="s">
        <v>74</v>
      </c>
      <c r="BI69">
        <v>10</v>
      </c>
      <c r="BJ69" t="s">
        <v>1261</v>
      </c>
      <c r="BK69" t="s">
        <v>96</v>
      </c>
      <c r="BL69" t="s">
        <v>1262</v>
      </c>
      <c r="BM69" t="s">
        <v>1263</v>
      </c>
      <c r="BN69">
        <v>15046325</v>
      </c>
      <c r="BO69" t="s">
        <v>74</v>
      </c>
      <c r="BP69" t="s">
        <v>74</v>
      </c>
      <c r="BQ69" t="s">
        <v>74</v>
      </c>
      <c r="BR69" t="s">
        <v>99</v>
      </c>
      <c r="BS69" t="s">
        <v>1264</v>
      </c>
      <c r="BT69" t="str">
        <f>HYPERLINK("https%3A%2F%2Fwww.webofscience.com%2Fwos%2Fwoscc%2Ffull-record%2FWOS:000189360800013","View Full Record in Web of Science")</f>
        <v>View Full Record in Web of Science</v>
      </c>
    </row>
    <row r="70" spans="1:72" x14ac:dyDescent="0.15">
      <c r="A70" t="s">
        <v>72</v>
      </c>
      <c r="B70" t="s">
        <v>1265</v>
      </c>
      <c r="C70" t="s">
        <v>74</v>
      </c>
      <c r="D70" t="s">
        <v>74</v>
      </c>
      <c r="E70" t="s">
        <v>74</v>
      </c>
      <c r="F70" t="s">
        <v>1265</v>
      </c>
      <c r="G70" t="s">
        <v>74</v>
      </c>
      <c r="H70" t="s">
        <v>74</v>
      </c>
      <c r="I70" t="s">
        <v>1266</v>
      </c>
      <c r="J70" t="s">
        <v>1267</v>
      </c>
      <c r="K70" t="s">
        <v>74</v>
      </c>
      <c r="L70" t="s">
        <v>74</v>
      </c>
      <c r="M70" t="s">
        <v>77</v>
      </c>
      <c r="N70" t="s">
        <v>78</v>
      </c>
      <c r="O70" t="s">
        <v>74</v>
      </c>
      <c r="P70" t="s">
        <v>74</v>
      </c>
      <c r="Q70" t="s">
        <v>74</v>
      </c>
      <c r="R70" t="s">
        <v>74</v>
      </c>
      <c r="S70" t="s">
        <v>74</v>
      </c>
      <c r="T70" t="s">
        <v>1268</v>
      </c>
      <c r="U70" t="s">
        <v>1269</v>
      </c>
      <c r="V70" t="s">
        <v>1270</v>
      </c>
      <c r="W70" t="s">
        <v>1271</v>
      </c>
      <c r="X70" t="s">
        <v>1272</v>
      </c>
      <c r="Y70" t="s">
        <v>1273</v>
      </c>
      <c r="Z70" t="s">
        <v>1274</v>
      </c>
      <c r="AA70" t="s">
        <v>1275</v>
      </c>
      <c r="AB70" t="s">
        <v>1276</v>
      </c>
      <c r="AC70" t="s">
        <v>74</v>
      </c>
      <c r="AD70" t="s">
        <v>74</v>
      </c>
      <c r="AE70" t="s">
        <v>74</v>
      </c>
      <c r="AF70" t="s">
        <v>74</v>
      </c>
      <c r="AG70">
        <v>76</v>
      </c>
      <c r="AH70">
        <v>92</v>
      </c>
      <c r="AI70">
        <v>102</v>
      </c>
      <c r="AJ70">
        <v>3</v>
      </c>
      <c r="AK70">
        <v>56</v>
      </c>
      <c r="AL70" t="s">
        <v>198</v>
      </c>
      <c r="AM70" t="s">
        <v>178</v>
      </c>
      <c r="AN70" t="s">
        <v>179</v>
      </c>
      <c r="AO70" t="s">
        <v>1277</v>
      </c>
      <c r="AP70" t="s">
        <v>1278</v>
      </c>
      <c r="AQ70" t="s">
        <v>74</v>
      </c>
      <c r="AR70" t="s">
        <v>1279</v>
      </c>
      <c r="AS70" t="s">
        <v>1280</v>
      </c>
      <c r="AT70" t="s">
        <v>913</v>
      </c>
      <c r="AU70">
        <v>2004</v>
      </c>
      <c r="AV70">
        <v>49</v>
      </c>
      <c r="AW70">
        <v>3</v>
      </c>
      <c r="AX70" t="s">
        <v>74</v>
      </c>
      <c r="AY70" t="s">
        <v>74</v>
      </c>
      <c r="AZ70" t="s">
        <v>74</v>
      </c>
      <c r="BA70" t="s">
        <v>74</v>
      </c>
      <c r="BB70">
        <v>296</v>
      </c>
      <c r="BC70">
        <v>319</v>
      </c>
      <c r="BD70" t="s">
        <v>74</v>
      </c>
      <c r="BE70" t="s">
        <v>1281</v>
      </c>
      <c r="BF70" t="str">
        <f>HYPERLINK("http://dx.doi.org/10.1111/j.1365-2427.2004.01186.x","http://dx.doi.org/10.1111/j.1365-2427.2004.01186.x")</f>
        <v>http://dx.doi.org/10.1111/j.1365-2427.2004.01186.x</v>
      </c>
      <c r="BG70" t="s">
        <v>74</v>
      </c>
      <c r="BH70" t="s">
        <v>74</v>
      </c>
      <c r="BI70">
        <v>24</v>
      </c>
      <c r="BJ70" t="s">
        <v>1282</v>
      </c>
      <c r="BK70" t="s">
        <v>96</v>
      </c>
      <c r="BL70" t="s">
        <v>1117</v>
      </c>
      <c r="BM70" t="s">
        <v>1283</v>
      </c>
      <c r="BN70" t="s">
        <v>74</v>
      </c>
      <c r="BO70" t="s">
        <v>286</v>
      </c>
      <c r="BP70" t="s">
        <v>74</v>
      </c>
      <c r="BQ70" t="s">
        <v>74</v>
      </c>
      <c r="BR70" t="s">
        <v>99</v>
      </c>
      <c r="BS70" t="s">
        <v>1284</v>
      </c>
      <c r="BT70" t="str">
        <f>HYPERLINK("https%3A%2F%2Fwww.webofscience.com%2Fwos%2Fwoscc%2Ffull-record%2FWOS:000188989600007","View Full Record in Web of Science")</f>
        <v>View Full Record in Web of Science</v>
      </c>
    </row>
    <row r="71" spans="1:72" x14ac:dyDescent="0.15">
      <c r="A71" t="s">
        <v>72</v>
      </c>
      <c r="B71" t="s">
        <v>1285</v>
      </c>
      <c r="C71" t="s">
        <v>74</v>
      </c>
      <c r="D71" t="s">
        <v>74</v>
      </c>
      <c r="E71" t="s">
        <v>74</v>
      </c>
      <c r="F71" t="s">
        <v>1285</v>
      </c>
      <c r="G71" t="s">
        <v>74</v>
      </c>
      <c r="H71" t="s">
        <v>74</v>
      </c>
      <c r="I71" t="s">
        <v>1286</v>
      </c>
      <c r="J71" t="s">
        <v>1287</v>
      </c>
      <c r="K71" t="s">
        <v>74</v>
      </c>
      <c r="L71" t="s">
        <v>74</v>
      </c>
      <c r="M71" t="s">
        <v>77</v>
      </c>
      <c r="N71" t="s">
        <v>78</v>
      </c>
      <c r="O71" t="s">
        <v>74</v>
      </c>
      <c r="P71" t="s">
        <v>74</v>
      </c>
      <c r="Q71" t="s">
        <v>74</v>
      </c>
      <c r="R71" t="s">
        <v>74</v>
      </c>
      <c r="S71" t="s">
        <v>74</v>
      </c>
      <c r="T71" t="s">
        <v>74</v>
      </c>
      <c r="U71" t="s">
        <v>1288</v>
      </c>
      <c r="V71" t="s">
        <v>1289</v>
      </c>
      <c r="W71" t="s">
        <v>1290</v>
      </c>
      <c r="X71" t="s">
        <v>1291</v>
      </c>
      <c r="Y71" t="s">
        <v>1292</v>
      </c>
      <c r="Z71" t="s">
        <v>1293</v>
      </c>
      <c r="AA71" t="s">
        <v>74</v>
      </c>
      <c r="AB71" t="s">
        <v>74</v>
      </c>
      <c r="AC71" t="s">
        <v>74</v>
      </c>
      <c r="AD71" t="s">
        <v>74</v>
      </c>
      <c r="AE71" t="s">
        <v>74</v>
      </c>
      <c r="AF71" t="s">
        <v>74</v>
      </c>
      <c r="AG71">
        <v>79</v>
      </c>
      <c r="AH71">
        <v>45</v>
      </c>
      <c r="AI71">
        <v>49</v>
      </c>
      <c r="AJ71">
        <v>1</v>
      </c>
      <c r="AK71">
        <v>23</v>
      </c>
      <c r="AL71" t="s">
        <v>213</v>
      </c>
      <c r="AM71" t="s">
        <v>214</v>
      </c>
      <c r="AN71" t="s">
        <v>215</v>
      </c>
      <c r="AO71" t="s">
        <v>1294</v>
      </c>
      <c r="AP71" t="s">
        <v>1295</v>
      </c>
      <c r="AQ71" t="s">
        <v>74</v>
      </c>
      <c r="AR71" t="s">
        <v>1296</v>
      </c>
      <c r="AS71" t="s">
        <v>1297</v>
      </c>
      <c r="AT71" t="s">
        <v>913</v>
      </c>
      <c r="AU71">
        <v>2004</v>
      </c>
      <c r="AV71">
        <v>68</v>
      </c>
      <c r="AW71">
        <v>5</v>
      </c>
      <c r="AX71" t="s">
        <v>74</v>
      </c>
      <c r="AY71" t="s">
        <v>74</v>
      </c>
      <c r="AZ71" t="s">
        <v>74</v>
      </c>
      <c r="BA71" t="s">
        <v>74</v>
      </c>
      <c r="BB71">
        <v>1035</v>
      </c>
      <c r="BC71">
        <v>1048</v>
      </c>
      <c r="BD71" t="s">
        <v>74</v>
      </c>
      <c r="BE71" t="s">
        <v>1298</v>
      </c>
      <c r="BF71" t="str">
        <f>HYPERLINK("http://dx.doi.org/10.1016/j.gca.2003.07.021","http://dx.doi.org/10.1016/j.gca.2003.07.021")</f>
        <v>http://dx.doi.org/10.1016/j.gca.2003.07.021</v>
      </c>
      <c r="BG71" t="s">
        <v>74</v>
      </c>
      <c r="BH71" t="s">
        <v>74</v>
      </c>
      <c r="BI71">
        <v>14</v>
      </c>
      <c r="BJ71" t="s">
        <v>262</v>
      </c>
      <c r="BK71" t="s">
        <v>96</v>
      </c>
      <c r="BL71" t="s">
        <v>262</v>
      </c>
      <c r="BM71" t="s">
        <v>1299</v>
      </c>
      <c r="BN71" t="s">
        <v>74</v>
      </c>
      <c r="BO71" t="s">
        <v>74</v>
      </c>
      <c r="BP71" t="s">
        <v>74</v>
      </c>
      <c r="BQ71" t="s">
        <v>74</v>
      </c>
      <c r="BR71" t="s">
        <v>99</v>
      </c>
      <c r="BS71" t="s">
        <v>1300</v>
      </c>
      <c r="BT71" t="str">
        <f>HYPERLINK("https%3A%2F%2Fwww.webofscience.com%2Fwos%2Fwoscc%2Ffull-record%2FWOS:000189009600008","View Full Record in Web of Science")</f>
        <v>View Full Record in Web of Science</v>
      </c>
    </row>
    <row r="72" spans="1:72" x14ac:dyDescent="0.15">
      <c r="A72" t="s">
        <v>72</v>
      </c>
      <c r="B72" t="s">
        <v>1301</v>
      </c>
      <c r="C72" t="s">
        <v>74</v>
      </c>
      <c r="D72" t="s">
        <v>74</v>
      </c>
      <c r="E72" t="s">
        <v>74</v>
      </c>
      <c r="F72" t="s">
        <v>1301</v>
      </c>
      <c r="G72" t="s">
        <v>74</v>
      </c>
      <c r="H72" t="s">
        <v>74</v>
      </c>
      <c r="I72" t="s">
        <v>1302</v>
      </c>
      <c r="J72" t="s">
        <v>1303</v>
      </c>
      <c r="K72" t="s">
        <v>74</v>
      </c>
      <c r="L72" t="s">
        <v>74</v>
      </c>
      <c r="M72" t="s">
        <v>77</v>
      </c>
      <c r="N72" t="s">
        <v>78</v>
      </c>
      <c r="O72" t="s">
        <v>74</v>
      </c>
      <c r="P72" t="s">
        <v>74</v>
      </c>
      <c r="Q72" t="s">
        <v>74</v>
      </c>
      <c r="R72" t="s">
        <v>74</v>
      </c>
      <c r="S72" t="s">
        <v>74</v>
      </c>
      <c r="T72" t="s">
        <v>1304</v>
      </c>
      <c r="U72" t="s">
        <v>1305</v>
      </c>
      <c r="V72" t="s">
        <v>1306</v>
      </c>
      <c r="W72" t="s">
        <v>1307</v>
      </c>
      <c r="X72" t="s">
        <v>1308</v>
      </c>
      <c r="Y72" t="s">
        <v>1309</v>
      </c>
      <c r="Z72" t="s">
        <v>1310</v>
      </c>
      <c r="AA72" t="s">
        <v>74</v>
      </c>
      <c r="AB72" t="s">
        <v>1311</v>
      </c>
      <c r="AC72" t="s">
        <v>74</v>
      </c>
      <c r="AD72" t="s">
        <v>74</v>
      </c>
      <c r="AE72" t="s">
        <v>74</v>
      </c>
      <c r="AF72" t="s">
        <v>74</v>
      </c>
      <c r="AG72">
        <v>94</v>
      </c>
      <c r="AH72">
        <v>167</v>
      </c>
      <c r="AI72">
        <v>196</v>
      </c>
      <c r="AJ72">
        <v>0</v>
      </c>
      <c r="AK72">
        <v>28</v>
      </c>
      <c r="AL72" t="s">
        <v>1312</v>
      </c>
      <c r="AM72" t="s">
        <v>1313</v>
      </c>
      <c r="AN72" t="s">
        <v>1314</v>
      </c>
      <c r="AO72" t="s">
        <v>1315</v>
      </c>
      <c r="AP72" t="s">
        <v>1316</v>
      </c>
      <c r="AQ72" t="s">
        <v>74</v>
      </c>
      <c r="AR72" t="s">
        <v>1317</v>
      </c>
      <c r="AS72" t="s">
        <v>1318</v>
      </c>
      <c r="AT72" t="s">
        <v>1319</v>
      </c>
      <c r="AU72">
        <v>2004</v>
      </c>
      <c r="AV72">
        <v>116</v>
      </c>
      <c r="AW72" t="s">
        <v>710</v>
      </c>
      <c r="AX72" t="s">
        <v>74</v>
      </c>
      <c r="AY72" t="s">
        <v>74</v>
      </c>
      <c r="AZ72" t="s">
        <v>74</v>
      </c>
      <c r="BA72" t="s">
        <v>74</v>
      </c>
      <c r="BB72">
        <v>368</v>
      </c>
      <c r="BC72">
        <v>393</v>
      </c>
      <c r="BD72" t="s">
        <v>74</v>
      </c>
      <c r="BE72" t="s">
        <v>1320</v>
      </c>
      <c r="BF72" t="str">
        <f>HYPERLINK("http://dx.doi.org/10.1130/B25279.1","http://dx.doi.org/10.1130/B25279.1")</f>
        <v>http://dx.doi.org/10.1130/B25279.1</v>
      </c>
      <c r="BG72" t="s">
        <v>74</v>
      </c>
      <c r="BH72" t="s">
        <v>74</v>
      </c>
      <c r="BI72">
        <v>26</v>
      </c>
      <c r="BJ72" t="s">
        <v>560</v>
      </c>
      <c r="BK72" t="s">
        <v>96</v>
      </c>
      <c r="BL72" t="s">
        <v>561</v>
      </c>
      <c r="BM72" t="s">
        <v>1321</v>
      </c>
      <c r="BN72" t="s">
        <v>74</v>
      </c>
      <c r="BO72" t="s">
        <v>74</v>
      </c>
      <c r="BP72" t="s">
        <v>74</v>
      </c>
      <c r="BQ72" t="s">
        <v>74</v>
      </c>
      <c r="BR72" t="s">
        <v>99</v>
      </c>
      <c r="BS72" t="s">
        <v>1322</v>
      </c>
      <c r="BT72" t="str">
        <f>HYPERLINK("https%3A%2F%2Fwww.webofscience.com%2Fwos%2Fwoscc%2Ffull-record%2FWOS:000189291600008","View Full Record in Web of Science")</f>
        <v>View Full Record in Web of Science</v>
      </c>
    </row>
    <row r="73" spans="1:72" x14ac:dyDescent="0.15">
      <c r="A73" t="s">
        <v>72</v>
      </c>
      <c r="B73" t="s">
        <v>1323</v>
      </c>
      <c r="C73" t="s">
        <v>74</v>
      </c>
      <c r="D73" t="s">
        <v>74</v>
      </c>
      <c r="E73" t="s">
        <v>74</v>
      </c>
      <c r="F73" t="s">
        <v>1323</v>
      </c>
      <c r="G73" t="s">
        <v>74</v>
      </c>
      <c r="H73" t="s">
        <v>74</v>
      </c>
      <c r="I73" t="s">
        <v>1324</v>
      </c>
      <c r="J73" t="s">
        <v>1303</v>
      </c>
      <c r="K73" t="s">
        <v>74</v>
      </c>
      <c r="L73" t="s">
        <v>74</v>
      </c>
      <c r="M73" t="s">
        <v>77</v>
      </c>
      <c r="N73" t="s">
        <v>78</v>
      </c>
      <c r="O73" t="s">
        <v>74</v>
      </c>
      <c r="P73" t="s">
        <v>74</v>
      </c>
      <c r="Q73" t="s">
        <v>74</v>
      </c>
      <c r="R73" t="s">
        <v>74</v>
      </c>
      <c r="S73" t="s">
        <v>74</v>
      </c>
      <c r="T73" t="s">
        <v>1325</v>
      </c>
      <c r="U73" t="s">
        <v>1326</v>
      </c>
      <c r="V73" t="s">
        <v>1327</v>
      </c>
      <c r="W73" t="s">
        <v>1328</v>
      </c>
      <c r="X73" t="s">
        <v>1329</v>
      </c>
      <c r="Y73" t="s">
        <v>1330</v>
      </c>
      <c r="Z73" t="s">
        <v>1331</v>
      </c>
      <c r="AA73" t="s">
        <v>1332</v>
      </c>
      <c r="AB73" t="s">
        <v>1333</v>
      </c>
      <c r="AC73" t="s">
        <v>74</v>
      </c>
      <c r="AD73" t="s">
        <v>74</v>
      </c>
      <c r="AE73" t="s">
        <v>74</v>
      </c>
      <c r="AF73" t="s">
        <v>74</v>
      </c>
      <c r="AG73">
        <v>81</v>
      </c>
      <c r="AH73">
        <v>176</v>
      </c>
      <c r="AI73">
        <v>190</v>
      </c>
      <c r="AJ73">
        <v>0</v>
      </c>
      <c r="AK73">
        <v>28</v>
      </c>
      <c r="AL73" t="s">
        <v>1312</v>
      </c>
      <c r="AM73" t="s">
        <v>1313</v>
      </c>
      <c r="AN73" t="s">
        <v>1314</v>
      </c>
      <c r="AO73" t="s">
        <v>1315</v>
      </c>
      <c r="AP73" t="s">
        <v>1316</v>
      </c>
      <c r="AQ73" t="s">
        <v>74</v>
      </c>
      <c r="AR73" t="s">
        <v>1317</v>
      </c>
      <c r="AS73" t="s">
        <v>1318</v>
      </c>
      <c r="AT73" t="s">
        <v>1319</v>
      </c>
      <c r="AU73">
        <v>2004</v>
      </c>
      <c r="AV73">
        <v>116</v>
      </c>
      <c r="AW73" t="s">
        <v>710</v>
      </c>
      <c r="AX73" t="s">
        <v>74</v>
      </c>
      <c r="AY73" t="s">
        <v>74</v>
      </c>
      <c r="AZ73" t="s">
        <v>74</v>
      </c>
      <c r="BA73" t="s">
        <v>74</v>
      </c>
      <c r="BB73">
        <v>434</v>
      </c>
      <c r="BC73">
        <v>450</v>
      </c>
      <c r="BD73" t="s">
        <v>74</v>
      </c>
      <c r="BE73" t="s">
        <v>1334</v>
      </c>
      <c r="BF73" t="str">
        <f>HYPERLINK("http://dx.doi.org/10.1130/B25177.1","http://dx.doi.org/10.1130/B25177.1")</f>
        <v>http://dx.doi.org/10.1130/B25177.1</v>
      </c>
      <c r="BG73" t="s">
        <v>74</v>
      </c>
      <c r="BH73" t="s">
        <v>74</v>
      </c>
      <c r="BI73">
        <v>17</v>
      </c>
      <c r="BJ73" t="s">
        <v>560</v>
      </c>
      <c r="BK73" t="s">
        <v>96</v>
      </c>
      <c r="BL73" t="s">
        <v>561</v>
      </c>
      <c r="BM73" t="s">
        <v>1321</v>
      </c>
      <c r="BN73" t="s">
        <v>74</v>
      </c>
      <c r="BO73" t="s">
        <v>74</v>
      </c>
      <c r="BP73" t="s">
        <v>74</v>
      </c>
      <c r="BQ73" t="s">
        <v>74</v>
      </c>
      <c r="BR73" t="s">
        <v>99</v>
      </c>
      <c r="BS73" t="s">
        <v>1335</v>
      </c>
      <c r="BT73" t="str">
        <f>HYPERLINK("https%3A%2F%2Fwww.webofscience.com%2Fwos%2Fwoscc%2Ffull-record%2FWOS:000189291600012","View Full Record in Web of Science")</f>
        <v>View Full Record in Web of Science</v>
      </c>
    </row>
    <row r="74" spans="1:72" x14ac:dyDescent="0.15">
      <c r="A74" t="s">
        <v>72</v>
      </c>
      <c r="B74" t="s">
        <v>1336</v>
      </c>
      <c r="C74" t="s">
        <v>74</v>
      </c>
      <c r="D74" t="s">
        <v>74</v>
      </c>
      <c r="E74" t="s">
        <v>74</v>
      </c>
      <c r="F74" t="s">
        <v>1336</v>
      </c>
      <c r="G74" t="s">
        <v>74</v>
      </c>
      <c r="H74" t="s">
        <v>74</v>
      </c>
      <c r="I74" t="s">
        <v>1337</v>
      </c>
      <c r="J74" t="s">
        <v>1338</v>
      </c>
      <c r="K74" t="s">
        <v>74</v>
      </c>
      <c r="L74" t="s">
        <v>74</v>
      </c>
      <c r="M74" t="s">
        <v>77</v>
      </c>
      <c r="N74" t="s">
        <v>78</v>
      </c>
      <c r="O74" t="s">
        <v>74</v>
      </c>
      <c r="P74" t="s">
        <v>74</v>
      </c>
      <c r="Q74" t="s">
        <v>74</v>
      </c>
      <c r="R74" t="s">
        <v>74</v>
      </c>
      <c r="S74" t="s">
        <v>74</v>
      </c>
      <c r="T74" t="s">
        <v>1339</v>
      </c>
      <c r="U74" t="s">
        <v>291</v>
      </c>
      <c r="V74" t="s">
        <v>1340</v>
      </c>
      <c r="W74" t="s">
        <v>1341</v>
      </c>
      <c r="X74" t="s">
        <v>1342</v>
      </c>
      <c r="Y74" t="s">
        <v>1343</v>
      </c>
      <c r="Z74" t="s">
        <v>1344</v>
      </c>
      <c r="AA74" t="s">
        <v>1345</v>
      </c>
      <c r="AB74" t="s">
        <v>1346</v>
      </c>
      <c r="AC74" t="s">
        <v>74</v>
      </c>
      <c r="AD74" t="s">
        <v>74</v>
      </c>
      <c r="AE74" t="s">
        <v>74</v>
      </c>
      <c r="AF74" t="s">
        <v>74</v>
      </c>
      <c r="AG74">
        <v>18</v>
      </c>
      <c r="AH74">
        <v>43</v>
      </c>
      <c r="AI74">
        <v>45</v>
      </c>
      <c r="AJ74">
        <v>1</v>
      </c>
      <c r="AK74">
        <v>3</v>
      </c>
      <c r="AL74" t="s">
        <v>1312</v>
      </c>
      <c r="AM74" t="s">
        <v>1313</v>
      </c>
      <c r="AN74" t="s">
        <v>1314</v>
      </c>
      <c r="AO74" t="s">
        <v>1347</v>
      </c>
      <c r="AP74" t="s">
        <v>1348</v>
      </c>
      <c r="AQ74" t="s">
        <v>74</v>
      </c>
      <c r="AR74" t="s">
        <v>1338</v>
      </c>
      <c r="AS74" t="s">
        <v>561</v>
      </c>
      <c r="AT74" t="s">
        <v>913</v>
      </c>
      <c r="AU74">
        <v>2004</v>
      </c>
      <c r="AV74">
        <v>32</v>
      </c>
      <c r="AW74">
        <v>3</v>
      </c>
      <c r="AX74" t="s">
        <v>74</v>
      </c>
      <c r="AY74" t="s">
        <v>74</v>
      </c>
      <c r="AZ74" t="s">
        <v>74</v>
      </c>
      <c r="BA74" t="s">
        <v>74</v>
      </c>
      <c r="BB74">
        <v>197</v>
      </c>
      <c r="BC74">
        <v>200</v>
      </c>
      <c r="BD74" t="s">
        <v>74</v>
      </c>
      <c r="BE74" t="s">
        <v>1349</v>
      </c>
      <c r="BF74" t="str">
        <f>HYPERLINK("http://dx.doi.org/10.1130/G20275.1","http://dx.doi.org/10.1130/G20275.1")</f>
        <v>http://dx.doi.org/10.1130/G20275.1</v>
      </c>
      <c r="BG74" t="s">
        <v>74</v>
      </c>
      <c r="BH74" t="s">
        <v>74</v>
      </c>
      <c r="BI74">
        <v>4</v>
      </c>
      <c r="BJ74" t="s">
        <v>561</v>
      </c>
      <c r="BK74" t="s">
        <v>96</v>
      </c>
      <c r="BL74" t="s">
        <v>561</v>
      </c>
      <c r="BM74" t="s">
        <v>1350</v>
      </c>
      <c r="BN74" t="s">
        <v>74</v>
      </c>
      <c r="BO74" t="s">
        <v>156</v>
      </c>
      <c r="BP74" t="s">
        <v>74</v>
      </c>
      <c r="BQ74" t="s">
        <v>74</v>
      </c>
      <c r="BR74" t="s">
        <v>99</v>
      </c>
      <c r="BS74" t="s">
        <v>1351</v>
      </c>
      <c r="BT74" t="str">
        <f>HYPERLINK("https%3A%2F%2Fwww.webofscience.com%2Fwos%2Fwoscc%2Ffull-record%2FWOS:000189284200006","View Full Record in Web of Science")</f>
        <v>View Full Record in Web of Science</v>
      </c>
    </row>
    <row r="75" spans="1:72" x14ac:dyDescent="0.15">
      <c r="A75" t="s">
        <v>72</v>
      </c>
      <c r="B75" t="s">
        <v>1352</v>
      </c>
      <c r="C75" t="s">
        <v>74</v>
      </c>
      <c r="D75" t="s">
        <v>74</v>
      </c>
      <c r="E75" t="s">
        <v>74</v>
      </c>
      <c r="F75" t="s">
        <v>1352</v>
      </c>
      <c r="G75" t="s">
        <v>74</v>
      </c>
      <c r="H75" t="s">
        <v>74</v>
      </c>
      <c r="I75" t="s">
        <v>1353</v>
      </c>
      <c r="J75" t="s">
        <v>1338</v>
      </c>
      <c r="K75" t="s">
        <v>74</v>
      </c>
      <c r="L75" t="s">
        <v>74</v>
      </c>
      <c r="M75" t="s">
        <v>77</v>
      </c>
      <c r="N75" t="s">
        <v>78</v>
      </c>
      <c r="O75" t="s">
        <v>74</v>
      </c>
      <c r="P75" t="s">
        <v>74</v>
      </c>
      <c r="Q75" t="s">
        <v>74</v>
      </c>
      <c r="R75" t="s">
        <v>74</v>
      </c>
      <c r="S75" t="s">
        <v>74</v>
      </c>
      <c r="T75" t="s">
        <v>1354</v>
      </c>
      <c r="U75" t="s">
        <v>1355</v>
      </c>
      <c r="V75" t="s">
        <v>1356</v>
      </c>
      <c r="W75" t="s">
        <v>1357</v>
      </c>
      <c r="X75" t="s">
        <v>1358</v>
      </c>
      <c r="Y75" t="s">
        <v>1359</v>
      </c>
      <c r="Z75" t="s">
        <v>74</v>
      </c>
      <c r="AA75" t="s">
        <v>1360</v>
      </c>
      <c r="AB75" t="s">
        <v>1361</v>
      </c>
      <c r="AC75" t="s">
        <v>74</v>
      </c>
      <c r="AD75" t="s">
        <v>74</v>
      </c>
      <c r="AE75" t="s">
        <v>74</v>
      </c>
      <c r="AF75" t="s">
        <v>74</v>
      </c>
      <c r="AG75">
        <v>23</v>
      </c>
      <c r="AH75">
        <v>44</v>
      </c>
      <c r="AI75">
        <v>48</v>
      </c>
      <c r="AJ75">
        <v>0</v>
      </c>
      <c r="AK75">
        <v>9</v>
      </c>
      <c r="AL75" t="s">
        <v>1312</v>
      </c>
      <c r="AM75" t="s">
        <v>1313</v>
      </c>
      <c r="AN75" t="s">
        <v>1314</v>
      </c>
      <c r="AO75" t="s">
        <v>1347</v>
      </c>
      <c r="AP75" t="s">
        <v>1348</v>
      </c>
      <c r="AQ75" t="s">
        <v>74</v>
      </c>
      <c r="AR75" t="s">
        <v>1338</v>
      </c>
      <c r="AS75" t="s">
        <v>561</v>
      </c>
      <c r="AT75" t="s">
        <v>913</v>
      </c>
      <c r="AU75">
        <v>2004</v>
      </c>
      <c r="AV75">
        <v>32</v>
      </c>
      <c r="AW75">
        <v>3</v>
      </c>
      <c r="AX75" t="s">
        <v>74</v>
      </c>
      <c r="AY75" t="s">
        <v>74</v>
      </c>
      <c r="AZ75" t="s">
        <v>74</v>
      </c>
      <c r="BA75" t="s">
        <v>74</v>
      </c>
      <c r="BB75">
        <v>265</v>
      </c>
      <c r="BC75">
        <v>268</v>
      </c>
      <c r="BD75" t="s">
        <v>74</v>
      </c>
      <c r="BE75" t="s">
        <v>1362</v>
      </c>
      <c r="BF75" t="str">
        <f>HYPERLINK("http://dx.doi.org/10.1130/G19795.1","http://dx.doi.org/10.1130/G19795.1")</f>
        <v>http://dx.doi.org/10.1130/G19795.1</v>
      </c>
      <c r="BG75" t="s">
        <v>74</v>
      </c>
      <c r="BH75" t="s">
        <v>74</v>
      </c>
      <c r="BI75">
        <v>4</v>
      </c>
      <c r="BJ75" t="s">
        <v>561</v>
      </c>
      <c r="BK75" t="s">
        <v>96</v>
      </c>
      <c r="BL75" t="s">
        <v>561</v>
      </c>
      <c r="BM75" t="s">
        <v>1350</v>
      </c>
      <c r="BN75" t="s">
        <v>74</v>
      </c>
      <c r="BO75" t="s">
        <v>74</v>
      </c>
      <c r="BP75" t="s">
        <v>74</v>
      </c>
      <c r="BQ75" t="s">
        <v>74</v>
      </c>
      <c r="BR75" t="s">
        <v>99</v>
      </c>
      <c r="BS75" t="s">
        <v>1363</v>
      </c>
      <c r="BT75" t="str">
        <f>HYPERLINK("https%3A%2F%2Fwww.webofscience.com%2Fwos%2Fwoscc%2Ffull-record%2FWOS:000189284200023","View Full Record in Web of Science")</f>
        <v>View Full Record in Web of Science</v>
      </c>
    </row>
    <row r="76" spans="1:72" x14ac:dyDescent="0.15">
      <c r="A76" t="s">
        <v>72</v>
      </c>
      <c r="B76" t="s">
        <v>1364</v>
      </c>
      <c r="C76" t="s">
        <v>74</v>
      </c>
      <c r="D76" t="s">
        <v>74</v>
      </c>
      <c r="E76" t="s">
        <v>74</v>
      </c>
      <c r="F76" t="s">
        <v>1364</v>
      </c>
      <c r="G76" t="s">
        <v>74</v>
      </c>
      <c r="H76" t="s">
        <v>74</v>
      </c>
      <c r="I76" t="s">
        <v>1365</v>
      </c>
      <c r="J76" t="s">
        <v>1366</v>
      </c>
      <c r="K76" t="s">
        <v>74</v>
      </c>
      <c r="L76" t="s">
        <v>74</v>
      </c>
      <c r="M76" t="s">
        <v>77</v>
      </c>
      <c r="N76" t="s">
        <v>78</v>
      </c>
      <c r="O76" t="s">
        <v>74</v>
      </c>
      <c r="P76" t="s">
        <v>74</v>
      </c>
      <c r="Q76" t="s">
        <v>74</v>
      </c>
      <c r="R76" t="s">
        <v>74</v>
      </c>
      <c r="S76" t="s">
        <v>74</v>
      </c>
      <c r="T76" t="s">
        <v>1367</v>
      </c>
      <c r="U76" t="s">
        <v>1368</v>
      </c>
      <c r="V76" t="s">
        <v>1369</v>
      </c>
      <c r="W76" t="s">
        <v>1370</v>
      </c>
      <c r="X76" t="s">
        <v>1371</v>
      </c>
      <c r="Y76" t="s">
        <v>1372</v>
      </c>
      <c r="Z76" t="s">
        <v>1373</v>
      </c>
      <c r="AA76" t="s">
        <v>74</v>
      </c>
      <c r="AB76" t="s">
        <v>1374</v>
      </c>
      <c r="AC76" t="s">
        <v>74</v>
      </c>
      <c r="AD76" t="s">
        <v>74</v>
      </c>
      <c r="AE76" t="s">
        <v>74</v>
      </c>
      <c r="AF76" t="s">
        <v>74</v>
      </c>
      <c r="AG76">
        <v>44</v>
      </c>
      <c r="AH76">
        <v>15</v>
      </c>
      <c r="AI76">
        <v>15</v>
      </c>
      <c r="AJ76">
        <v>0</v>
      </c>
      <c r="AK76">
        <v>9</v>
      </c>
      <c r="AL76" t="s">
        <v>1375</v>
      </c>
      <c r="AM76" t="s">
        <v>1376</v>
      </c>
      <c r="AN76" t="s">
        <v>1377</v>
      </c>
      <c r="AO76" t="s">
        <v>1378</v>
      </c>
      <c r="AP76" t="s">
        <v>74</v>
      </c>
      <c r="AQ76" t="s">
        <v>74</v>
      </c>
      <c r="AR76" t="s">
        <v>1379</v>
      </c>
      <c r="AS76" t="s">
        <v>1380</v>
      </c>
      <c r="AT76" t="s">
        <v>913</v>
      </c>
      <c r="AU76">
        <v>2004</v>
      </c>
      <c r="AV76">
        <v>8</v>
      </c>
      <c r="AW76">
        <v>1</v>
      </c>
      <c r="AX76" t="s">
        <v>74</v>
      </c>
      <c r="AY76" t="s">
        <v>74</v>
      </c>
      <c r="AZ76" t="s">
        <v>74</v>
      </c>
      <c r="BA76" t="s">
        <v>74</v>
      </c>
      <c r="BB76">
        <v>1</v>
      </c>
      <c r="BC76">
        <v>10</v>
      </c>
      <c r="BD76" t="s">
        <v>74</v>
      </c>
      <c r="BE76" t="s">
        <v>1381</v>
      </c>
      <c r="BF76" t="str">
        <f>HYPERLINK("http://dx.doi.org/10.1007/BF02910274","http://dx.doi.org/10.1007/BF02910274")</f>
        <v>http://dx.doi.org/10.1007/BF02910274</v>
      </c>
      <c r="BG76" t="s">
        <v>74</v>
      </c>
      <c r="BH76" t="s">
        <v>74</v>
      </c>
      <c r="BI76">
        <v>10</v>
      </c>
      <c r="BJ76" t="s">
        <v>560</v>
      </c>
      <c r="BK76" t="s">
        <v>96</v>
      </c>
      <c r="BL76" t="s">
        <v>561</v>
      </c>
      <c r="BM76" t="s">
        <v>1382</v>
      </c>
      <c r="BN76" t="s">
        <v>74</v>
      </c>
      <c r="BO76" t="s">
        <v>74</v>
      </c>
      <c r="BP76" t="s">
        <v>74</v>
      </c>
      <c r="BQ76" t="s">
        <v>74</v>
      </c>
      <c r="BR76" t="s">
        <v>99</v>
      </c>
      <c r="BS76" t="s">
        <v>1383</v>
      </c>
      <c r="BT76" t="str">
        <f>HYPERLINK("https%3A%2F%2Fwww.webofscience.com%2Fwos%2Fwoscc%2Ffull-record%2FWOS:000222589400001","View Full Record in Web of Science")</f>
        <v>View Full Record in Web of Science</v>
      </c>
    </row>
    <row r="77" spans="1:72" x14ac:dyDescent="0.15">
      <c r="A77" t="s">
        <v>72</v>
      </c>
      <c r="B77" t="s">
        <v>1384</v>
      </c>
      <c r="C77" t="s">
        <v>74</v>
      </c>
      <c r="D77" t="s">
        <v>74</v>
      </c>
      <c r="E77" t="s">
        <v>74</v>
      </c>
      <c r="F77" t="s">
        <v>1384</v>
      </c>
      <c r="G77" t="s">
        <v>74</v>
      </c>
      <c r="H77" t="s">
        <v>74</v>
      </c>
      <c r="I77" t="s">
        <v>1385</v>
      </c>
      <c r="J77" t="s">
        <v>1386</v>
      </c>
      <c r="K77" t="s">
        <v>74</v>
      </c>
      <c r="L77" t="s">
        <v>74</v>
      </c>
      <c r="M77" t="s">
        <v>77</v>
      </c>
      <c r="N77" t="s">
        <v>78</v>
      </c>
      <c r="O77" t="s">
        <v>74</v>
      </c>
      <c r="P77" t="s">
        <v>74</v>
      </c>
      <c r="Q77" t="s">
        <v>74</v>
      </c>
      <c r="R77" t="s">
        <v>74</v>
      </c>
      <c r="S77" t="s">
        <v>74</v>
      </c>
      <c r="T77" t="s">
        <v>1387</v>
      </c>
      <c r="U77" t="s">
        <v>1388</v>
      </c>
      <c r="V77" t="s">
        <v>1389</v>
      </c>
      <c r="W77" t="s">
        <v>1390</v>
      </c>
      <c r="X77" t="s">
        <v>1391</v>
      </c>
      <c r="Y77" t="s">
        <v>1392</v>
      </c>
      <c r="Z77" t="s">
        <v>1393</v>
      </c>
      <c r="AA77" t="s">
        <v>1394</v>
      </c>
      <c r="AB77" t="s">
        <v>1395</v>
      </c>
      <c r="AC77" t="s">
        <v>74</v>
      </c>
      <c r="AD77" t="s">
        <v>74</v>
      </c>
      <c r="AE77" t="s">
        <v>74</v>
      </c>
      <c r="AF77" t="s">
        <v>74</v>
      </c>
      <c r="AG77">
        <v>88</v>
      </c>
      <c r="AH77">
        <v>25</v>
      </c>
      <c r="AI77">
        <v>28</v>
      </c>
      <c r="AJ77">
        <v>2</v>
      </c>
      <c r="AK77">
        <v>5</v>
      </c>
      <c r="AL77" t="s">
        <v>528</v>
      </c>
      <c r="AM77" t="s">
        <v>529</v>
      </c>
      <c r="AN77" t="s">
        <v>530</v>
      </c>
      <c r="AO77" t="s">
        <v>1396</v>
      </c>
      <c r="AP77" t="s">
        <v>74</v>
      </c>
      <c r="AQ77" t="s">
        <v>74</v>
      </c>
      <c r="AR77" t="s">
        <v>1397</v>
      </c>
      <c r="AS77" t="s">
        <v>1398</v>
      </c>
      <c r="AT77" t="s">
        <v>913</v>
      </c>
      <c r="AU77">
        <v>2004</v>
      </c>
      <c r="AV77">
        <v>41</v>
      </c>
      <c r="AW77">
        <v>1</v>
      </c>
      <c r="AX77" t="s">
        <v>74</v>
      </c>
      <c r="AY77" t="s">
        <v>74</v>
      </c>
      <c r="AZ77" t="s">
        <v>74</v>
      </c>
      <c r="BA77" t="s">
        <v>74</v>
      </c>
      <c r="BB77">
        <v>31</v>
      </c>
      <c r="BC77">
        <v>62</v>
      </c>
      <c r="BD77" t="s">
        <v>74</v>
      </c>
      <c r="BE77" t="s">
        <v>1399</v>
      </c>
      <c r="BF77" t="str">
        <f>HYPERLINK("http://dx.doi.org/10.1016/j.gloplacha.2003.10.002","http://dx.doi.org/10.1016/j.gloplacha.2003.10.002")</f>
        <v>http://dx.doi.org/10.1016/j.gloplacha.2003.10.002</v>
      </c>
      <c r="BG77" t="s">
        <v>74</v>
      </c>
      <c r="BH77" t="s">
        <v>74</v>
      </c>
      <c r="BI77">
        <v>32</v>
      </c>
      <c r="BJ77" t="s">
        <v>1400</v>
      </c>
      <c r="BK77" t="s">
        <v>96</v>
      </c>
      <c r="BL77" t="s">
        <v>1401</v>
      </c>
      <c r="BM77" t="s">
        <v>1402</v>
      </c>
      <c r="BN77" t="s">
        <v>74</v>
      </c>
      <c r="BO77" t="s">
        <v>74</v>
      </c>
      <c r="BP77" t="s">
        <v>74</v>
      </c>
      <c r="BQ77" t="s">
        <v>74</v>
      </c>
      <c r="BR77" t="s">
        <v>99</v>
      </c>
      <c r="BS77" t="s">
        <v>1403</v>
      </c>
      <c r="BT77" t="str">
        <f>HYPERLINK("https%3A%2F%2Fwww.webofscience.com%2Fwos%2Fwoscc%2Ffull-record%2FWOS:000189327000003","View Full Record in Web of Science")</f>
        <v>View Full Record in Web of Science</v>
      </c>
    </row>
    <row r="78" spans="1:72" x14ac:dyDescent="0.15">
      <c r="A78" t="s">
        <v>72</v>
      </c>
      <c r="B78" t="s">
        <v>1404</v>
      </c>
      <c r="C78" t="s">
        <v>74</v>
      </c>
      <c r="D78" t="s">
        <v>74</v>
      </c>
      <c r="E78" t="s">
        <v>74</v>
      </c>
      <c r="F78" t="s">
        <v>1404</v>
      </c>
      <c r="G78" t="s">
        <v>74</v>
      </c>
      <c r="H78" t="s">
        <v>74</v>
      </c>
      <c r="I78" t="s">
        <v>1405</v>
      </c>
      <c r="J78" t="s">
        <v>1406</v>
      </c>
      <c r="K78" t="s">
        <v>74</v>
      </c>
      <c r="L78" t="s">
        <v>74</v>
      </c>
      <c r="M78" t="s">
        <v>77</v>
      </c>
      <c r="N78" t="s">
        <v>78</v>
      </c>
      <c r="O78" t="s">
        <v>74</v>
      </c>
      <c r="P78" t="s">
        <v>74</v>
      </c>
      <c r="Q78" t="s">
        <v>74</v>
      </c>
      <c r="R78" t="s">
        <v>74</v>
      </c>
      <c r="S78" t="s">
        <v>74</v>
      </c>
      <c r="T78" t="s">
        <v>1407</v>
      </c>
      <c r="U78" t="s">
        <v>1408</v>
      </c>
      <c r="V78" t="s">
        <v>1409</v>
      </c>
      <c r="W78" t="s">
        <v>1410</v>
      </c>
      <c r="X78" t="s">
        <v>1411</v>
      </c>
      <c r="Y78" t="s">
        <v>1412</v>
      </c>
      <c r="Z78" t="s">
        <v>1413</v>
      </c>
      <c r="AA78" t="s">
        <v>1414</v>
      </c>
      <c r="AB78" t="s">
        <v>1415</v>
      </c>
      <c r="AC78" t="s">
        <v>74</v>
      </c>
      <c r="AD78" t="s">
        <v>74</v>
      </c>
      <c r="AE78" t="s">
        <v>74</v>
      </c>
      <c r="AF78" t="s">
        <v>74</v>
      </c>
      <c r="AG78">
        <v>35</v>
      </c>
      <c r="AH78">
        <v>73</v>
      </c>
      <c r="AI78">
        <v>78</v>
      </c>
      <c r="AJ78">
        <v>0</v>
      </c>
      <c r="AK78">
        <v>21</v>
      </c>
      <c r="AL78" t="s">
        <v>1416</v>
      </c>
      <c r="AM78" t="s">
        <v>1417</v>
      </c>
      <c r="AN78" t="s">
        <v>1418</v>
      </c>
      <c r="AO78" t="s">
        <v>1419</v>
      </c>
      <c r="AP78" t="s">
        <v>1420</v>
      </c>
      <c r="AQ78" t="s">
        <v>74</v>
      </c>
      <c r="AR78" t="s">
        <v>1406</v>
      </c>
      <c r="AS78" t="s">
        <v>1421</v>
      </c>
      <c r="AT78" t="s">
        <v>913</v>
      </c>
      <c r="AU78">
        <v>2004</v>
      </c>
      <c r="AV78">
        <v>14</v>
      </c>
      <c r="AW78">
        <v>2</v>
      </c>
      <c r="AX78" t="s">
        <v>74</v>
      </c>
      <c r="AY78" t="s">
        <v>74</v>
      </c>
      <c r="AZ78" t="s">
        <v>74</v>
      </c>
      <c r="BA78" t="s">
        <v>74</v>
      </c>
      <c r="BB78">
        <v>145</v>
      </c>
      <c r="BC78">
        <v>151</v>
      </c>
      <c r="BD78" t="s">
        <v>74</v>
      </c>
      <c r="BE78" t="s">
        <v>1422</v>
      </c>
      <c r="BF78" t="str">
        <f>HYPERLINK("http://dx.doi.org/10.1191/0959683604hl697ft","http://dx.doi.org/10.1191/0959683604hl697ft")</f>
        <v>http://dx.doi.org/10.1191/0959683604hl697ft</v>
      </c>
      <c r="BG78" t="s">
        <v>74</v>
      </c>
      <c r="BH78" t="s">
        <v>74</v>
      </c>
      <c r="BI78">
        <v>7</v>
      </c>
      <c r="BJ78" t="s">
        <v>1400</v>
      </c>
      <c r="BK78" t="s">
        <v>96</v>
      </c>
      <c r="BL78" t="s">
        <v>1401</v>
      </c>
      <c r="BM78" t="s">
        <v>1423</v>
      </c>
      <c r="BN78" t="s">
        <v>74</v>
      </c>
      <c r="BO78" t="s">
        <v>74</v>
      </c>
      <c r="BP78" t="s">
        <v>74</v>
      </c>
      <c r="BQ78" t="s">
        <v>74</v>
      </c>
      <c r="BR78" t="s">
        <v>99</v>
      </c>
      <c r="BS78" t="s">
        <v>1424</v>
      </c>
      <c r="BT78" t="str">
        <f>HYPERLINK("https%3A%2F%2Fwww.webofscience.com%2Fwos%2Fwoscc%2Ffull-record%2FWOS:000221328100001","View Full Record in Web of Science")</f>
        <v>View Full Record in Web of Science</v>
      </c>
    </row>
    <row r="79" spans="1:72" x14ac:dyDescent="0.15">
      <c r="A79" t="s">
        <v>72</v>
      </c>
      <c r="B79" t="s">
        <v>1425</v>
      </c>
      <c r="C79" t="s">
        <v>74</v>
      </c>
      <c r="D79" t="s">
        <v>74</v>
      </c>
      <c r="E79" t="s">
        <v>74</v>
      </c>
      <c r="F79" t="s">
        <v>1425</v>
      </c>
      <c r="G79" t="s">
        <v>74</v>
      </c>
      <c r="H79" t="s">
        <v>74</v>
      </c>
      <c r="I79" t="s">
        <v>1426</v>
      </c>
      <c r="J79" t="s">
        <v>1406</v>
      </c>
      <c r="K79" t="s">
        <v>74</v>
      </c>
      <c r="L79" t="s">
        <v>74</v>
      </c>
      <c r="M79" t="s">
        <v>77</v>
      </c>
      <c r="N79" t="s">
        <v>78</v>
      </c>
      <c r="O79" t="s">
        <v>74</v>
      </c>
      <c r="P79" t="s">
        <v>74</v>
      </c>
      <c r="Q79" t="s">
        <v>74</v>
      </c>
      <c r="R79" t="s">
        <v>74</v>
      </c>
      <c r="S79" t="s">
        <v>74</v>
      </c>
      <c r="T79" t="s">
        <v>1427</v>
      </c>
      <c r="U79" t="s">
        <v>1428</v>
      </c>
      <c r="V79" t="s">
        <v>1429</v>
      </c>
      <c r="W79" t="s">
        <v>1430</v>
      </c>
      <c r="X79" t="s">
        <v>1431</v>
      </c>
      <c r="Y79" t="s">
        <v>1432</v>
      </c>
      <c r="Z79" t="s">
        <v>1433</v>
      </c>
      <c r="AA79" t="s">
        <v>1434</v>
      </c>
      <c r="AB79" t="s">
        <v>74</v>
      </c>
      <c r="AC79" t="s">
        <v>1435</v>
      </c>
      <c r="AD79" t="s">
        <v>1436</v>
      </c>
      <c r="AE79" t="s">
        <v>74</v>
      </c>
      <c r="AF79" t="s">
        <v>74</v>
      </c>
      <c r="AG79">
        <v>69</v>
      </c>
      <c r="AH79">
        <v>39</v>
      </c>
      <c r="AI79">
        <v>43</v>
      </c>
      <c r="AJ79">
        <v>3</v>
      </c>
      <c r="AK79">
        <v>17</v>
      </c>
      <c r="AL79" t="s">
        <v>1437</v>
      </c>
      <c r="AM79" t="s">
        <v>1417</v>
      </c>
      <c r="AN79" t="s">
        <v>1438</v>
      </c>
      <c r="AO79" t="s">
        <v>1419</v>
      </c>
      <c r="AP79" t="s">
        <v>74</v>
      </c>
      <c r="AQ79" t="s">
        <v>74</v>
      </c>
      <c r="AR79" t="s">
        <v>1406</v>
      </c>
      <c r="AS79" t="s">
        <v>1421</v>
      </c>
      <c r="AT79" t="s">
        <v>913</v>
      </c>
      <c r="AU79">
        <v>2004</v>
      </c>
      <c r="AV79">
        <v>14</v>
      </c>
      <c r="AW79">
        <v>2</v>
      </c>
      <c r="AX79" t="s">
        <v>74</v>
      </c>
      <c r="AY79" t="s">
        <v>74</v>
      </c>
      <c r="AZ79" t="s">
        <v>74</v>
      </c>
      <c r="BA79" t="s">
        <v>74</v>
      </c>
      <c r="BB79">
        <v>246</v>
      </c>
      <c r="BC79">
        <v>257</v>
      </c>
      <c r="BD79" t="s">
        <v>74</v>
      </c>
      <c r="BE79" t="s">
        <v>1439</v>
      </c>
      <c r="BF79" t="str">
        <f>HYPERLINK("http://dx.doi.org/10.1191/0959683604hl702rp","http://dx.doi.org/10.1191/0959683604hl702rp")</f>
        <v>http://dx.doi.org/10.1191/0959683604hl702rp</v>
      </c>
      <c r="BG79" t="s">
        <v>74</v>
      </c>
      <c r="BH79" t="s">
        <v>74</v>
      </c>
      <c r="BI79">
        <v>12</v>
      </c>
      <c r="BJ79" t="s">
        <v>1400</v>
      </c>
      <c r="BK79" t="s">
        <v>96</v>
      </c>
      <c r="BL79" t="s">
        <v>1401</v>
      </c>
      <c r="BM79" t="s">
        <v>1423</v>
      </c>
      <c r="BN79" t="s">
        <v>74</v>
      </c>
      <c r="BO79" t="s">
        <v>74</v>
      </c>
      <c r="BP79" t="s">
        <v>74</v>
      </c>
      <c r="BQ79" t="s">
        <v>74</v>
      </c>
      <c r="BR79" t="s">
        <v>99</v>
      </c>
      <c r="BS79" t="s">
        <v>1440</v>
      </c>
      <c r="BT79" t="str">
        <f>HYPERLINK("https%3A%2F%2Fwww.webofscience.com%2Fwos%2Fwoscc%2Ffull-record%2FWOS:000221328100010","View Full Record in Web of Science")</f>
        <v>View Full Record in Web of Science</v>
      </c>
    </row>
    <row r="80" spans="1:72" x14ac:dyDescent="0.15">
      <c r="A80" t="s">
        <v>72</v>
      </c>
      <c r="B80" t="s">
        <v>1441</v>
      </c>
      <c r="C80" t="s">
        <v>74</v>
      </c>
      <c r="D80" t="s">
        <v>74</v>
      </c>
      <c r="E80" t="s">
        <v>74</v>
      </c>
      <c r="F80" t="s">
        <v>1441</v>
      </c>
      <c r="G80" t="s">
        <v>74</v>
      </c>
      <c r="H80" t="s">
        <v>74</v>
      </c>
      <c r="I80" t="s">
        <v>1442</v>
      </c>
      <c r="J80" t="s">
        <v>1443</v>
      </c>
      <c r="K80" t="s">
        <v>74</v>
      </c>
      <c r="L80" t="s">
        <v>74</v>
      </c>
      <c r="M80" t="s">
        <v>77</v>
      </c>
      <c r="N80" t="s">
        <v>78</v>
      </c>
      <c r="O80" t="s">
        <v>74</v>
      </c>
      <c r="P80" t="s">
        <v>74</v>
      </c>
      <c r="Q80" t="s">
        <v>74</v>
      </c>
      <c r="R80" t="s">
        <v>74</v>
      </c>
      <c r="S80" t="s">
        <v>74</v>
      </c>
      <c r="T80" t="s">
        <v>1444</v>
      </c>
      <c r="U80" t="s">
        <v>1445</v>
      </c>
      <c r="V80" t="s">
        <v>1446</v>
      </c>
      <c r="W80" t="s">
        <v>1447</v>
      </c>
      <c r="X80" t="s">
        <v>1448</v>
      </c>
      <c r="Y80" t="s">
        <v>1449</v>
      </c>
      <c r="Z80" t="s">
        <v>1450</v>
      </c>
      <c r="AA80" t="s">
        <v>74</v>
      </c>
      <c r="AB80" t="s">
        <v>74</v>
      </c>
      <c r="AC80" t="s">
        <v>74</v>
      </c>
      <c r="AD80" t="s">
        <v>74</v>
      </c>
      <c r="AE80" t="s">
        <v>74</v>
      </c>
      <c r="AF80" t="s">
        <v>74</v>
      </c>
      <c r="AG80">
        <v>76</v>
      </c>
      <c r="AH80">
        <v>16</v>
      </c>
      <c r="AI80">
        <v>17</v>
      </c>
      <c r="AJ80">
        <v>0</v>
      </c>
      <c r="AK80">
        <v>3</v>
      </c>
      <c r="AL80" t="s">
        <v>1451</v>
      </c>
      <c r="AM80" t="s">
        <v>1452</v>
      </c>
      <c r="AN80" t="s">
        <v>1453</v>
      </c>
      <c r="AO80" t="s">
        <v>1454</v>
      </c>
      <c r="AP80" t="s">
        <v>1455</v>
      </c>
      <c r="AQ80" t="s">
        <v>74</v>
      </c>
      <c r="AR80" t="s">
        <v>1443</v>
      </c>
      <c r="AS80" t="s">
        <v>1456</v>
      </c>
      <c r="AT80" t="s">
        <v>913</v>
      </c>
      <c r="AU80">
        <v>2004</v>
      </c>
      <c r="AV80">
        <v>168</v>
      </c>
      <c r="AW80">
        <v>1</v>
      </c>
      <c r="AX80" t="s">
        <v>74</v>
      </c>
      <c r="AY80" t="s">
        <v>74</v>
      </c>
      <c r="AZ80" t="s">
        <v>74</v>
      </c>
      <c r="BA80" t="s">
        <v>74</v>
      </c>
      <c r="BB80">
        <v>93</v>
      </c>
      <c r="BC80">
        <v>115</v>
      </c>
      <c r="BD80" t="s">
        <v>74</v>
      </c>
      <c r="BE80" t="s">
        <v>1457</v>
      </c>
      <c r="BF80" t="str">
        <f>HYPERLINK("http://dx.doi.org/10.1016/j.icarus.2003.12.002","http://dx.doi.org/10.1016/j.icarus.2003.12.002")</f>
        <v>http://dx.doi.org/10.1016/j.icarus.2003.12.002</v>
      </c>
      <c r="BG80" t="s">
        <v>74</v>
      </c>
      <c r="BH80" t="s">
        <v>74</v>
      </c>
      <c r="BI80">
        <v>23</v>
      </c>
      <c r="BJ80" t="s">
        <v>395</v>
      </c>
      <c r="BK80" t="s">
        <v>96</v>
      </c>
      <c r="BL80" t="s">
        <v>395</v>
      </c>
      <c r="BM80" t="s">
        <v>1458</v>
      </c>
      <c r="BN80" t="s">
        <v>74</v>
      </c>
      <c r="BO80" t="s">
        <v>74</v>
      </c>
      <c r="BP80" t="s">
        <v>74</v>
      </c>
      <c r="BQ80" t="s">
        <v>74</v>
      </c>
      <c r="BR80" t="s">
        <v>99</v>
      </c>
      <c r="BS80" t="s">
        <v>1459</v>
      </c>
      <c r="BT80" t="str">
        <f>HYPERLINK("https%3A%2F%2Fwww.webofscience.com%2Fwos%2Fwoscc%2Ffull-record%2FWOS:000220161400009","View Full Record in Web of Science")</f>
        <v>View Full Record in Web of Science</v>
      </c>
    </row>
    <row r="81" spans="1:72" x14ac:dyDescent="0.15">
      <c r="A81" t="s">
        <v>72</v>
      </c>
      <c r="B81" t="s">
        <v>1460</v>
      </c>
      <c r="C81" t="s">
        <v>74</v>
      </c>
      <c r="D81" t="s">
        <v>74</v>
      </c>
      <c r="E81" t="s">
        <v>74</v>
      </c>
      <c r="F81" t="s">
        <v>1460</v>
      </c>
      <c r="G81" t="s">
        <v>74</v>
      </c>
      <c r="H81" t="s">
        <v>74</v>
      </c>
      <c r="I81" t="s">
        <v>1461</v>
      </c>
      <c r="J81" t="s">
        <v>1462</v>
      </c>
      <c r="K81" t="s">
        <v>74</v>
      </c>
      <c r="L81" t="s">
        <v>74</v>
      </c>
      <c r="M81" t="s">
        <v>77</v>
      </c>
      <c r="N81" t="s">
        <v>1463</v>
      </c>
      <c r="O81" t="s">
        <v>74</v>
      </c>
      <c r="P81" t="s">
        <v>74</v>
      </c>
      <c r="Q81" t="s">
        <v>74</v>
      </c>
      <c r="R81" t="s">
        <v>74</v>
      </c>
      <c r="S81" t="s">
        <v>74</v>
      </c>
      <c r="T81" t="s">
        <v>74</v>
      </c>
      <c r="U81" t="s">
        <v>74</v>
      </c>
      <c r="V81" t="s">
        <v>74</v>
      </c>
      <c r="W81" t="s">
        <v>74</v>
      </c>
      <c r="X81" t="s">
        <v>74</v>
      </c>
      <c r="Y81" t="s">
        <v>74</v>
      </c>
      <c r="Z81" t="s">
        <v>1464</v>
      </c>
      <c r="AA81" t="s">
        <v>74</v>
      </c>
      <c r="AB81" t="s">
        <v>74</v>
      </c>
      <c r="AC81" t="s">
        <v>74</v>
      </c>
      <c r="AD81" t="s">
        <v>74</v>
      </c>
      <c r="AE81" t="s">
        <v>74</v>
      </c>
      <c r="AF81" t="s">
        <v>74</v>
      </c>
      <c r="AG81">
        <v>1</v>
      </c>
      <c r="AH81">
        <v>2</v>
      </c>
      <c r="AI81">
        <v>2</v>
      </c>
      <c r="AJ81">
        <v>0</v>
      </c>
      <c r="AK81">
        <v>8</v>
      </c>
      <c r="AL81" t="s">
        <v>1465</v>
      </c>
      <c r="AM81" t="s">
        <v>1466</v>
      </c>
      <c r="AN81" t="s">
        <v>1467</v>
      </c>
      <c r="AO81" t="s">
        <v>1468</v>
      </c>
      <c r="AP81" t="s">
        <v>74</v>
      </c>
      <c r="AQ81" t="s">
        <v>74</v>
      </c>
      <c r="AR81" t="s">
        <v>1469</v>
      </c>
      <c r="AS81" t="s">
        <v>1470</v>
      </c>
      <c r="AT81" t="s">
        <v>1471</v>
      </c>
      <c r="AU81">
        <v>2004</v>
      </c>
      <c r="AV81">
        <v>21</v>
      </c>
      <c r="AW81">
        <v>2</v>
      </c>
      <c r="AX81" t="s">
        <v>74</v>
      </c>
      <c r="AY81" t="s">
        <v>74</v>
      </c>
      <c r="AZ81" t="s">
        <v>74</v>
      </c>
      <c r="BA81" t="s">
        <v>74</v>
      </c>
      <c r="BB81">
        <v>91</v>
      </c>
      <c r="BC81">
        <v>96</v>
      </c>
      <c r="BD81" t="s">
        <v>74</v>
      </c>
      <c r="BE81" t="s">
        <v>1472</v>
      </c>
      <c r="BF81" t="str">
        <f>HYPERLINK("http://dx.doi.org/10.1201/1078/44118.21.2.20040301/80427.13","http://dx.doi.org/10.1201/1078/44118.21.2.20040301/80427.13")</f>
        <v>http://dx.doi.org/10.1201/1078/44118.21.2.20040301/80427.13</v>
      </c>
      <c r="BG81" t="s">
        <v>74</v>
      </c>
      <c r="BH81" t="s">
        <v>74</v>
      </c>
      <c r="BI81">
        <v>6</v>
      </c>
      <c r="BJ81" t="s">
        <v>1473</v>
      </c>
      <c r="BK81" t="s">
        <v>96</v>
      </c>
      <c r="BL81" t="s">
        <v>1474</v>
      </c>
      <c r="BM81" t="s">
        <v>1475</v>
      </c>
      <c r="BN81" t="s">
        <v>74</v>
      </c>
      <c r="BO81" t="s">
        <v>74</v>
      </c>
      <c r="BP81" t="s">
        <v>74</v>
      </c>
      <c r="BQ81" t="s">
        <v>74</v>
      </c>
      <c r="BR81" t="s">
        <v>99</v>
      </c>
      <c r="BS81" t="s">
        <v>1476</v>
      </c>
      <c r="BT81" t="str">
        <f>HYPERLINK("https%3A%2F%2Fwww.webofscience.com%2Fwos%2Fwoscc%2Ffull-record%2FWOS:000220645000014","View Full Record in Web of Science")</f>
        <v>View Full Record in Web of Science</v>
      </c>
    </row>
    <row r="82" spans="1:72" x14ac:dyDescent="0.15">
      <c r="A82" t="s">
        <v>72</v>
      </c>
      <c r="B82" t="s">
        <v>1477</v>
      </c>
      <c r="C82" t="s">
        <v>74</v>
      </c>
      <c r="D82" t="s">
        <v>74</v>
      </c>
      <c r="E82" t="s">
        <v>74</v>
      </c>
      <c r="F82" t="s">
        <v>1477</v>
      </c>
      <c r="G82" t="s">
        <v>74</v>
      </c>
      <c r="H82" t="s">
        <v>74</v>
      </c>
      <c r="I82" t="s">
        <v>1478</v>
      </c>
      <c r="J82" t="s">
        <v>1479</v>
      </c>
      <c r="K82" t="s">
        <v>74</v>
      </c>
      <c r="L82" t="s">
        <v>74</v>
      </c>
      <c r="M82" t="s">
        <v>77</v>
      </c>
      <c r="N82" t="s">
        <v>78</v>
      </c>
      <c r="O82" t="s">
        <v>74</v>
      </c>
      <c r="P82" t="s">
        <v>74</v>
      </c>
      <c r="Q82" t="s">
        <v>74</v>
      </c>
      <c r="R82" t="s">
        <v>74</v>
      </c>
      <c r="S82" t="s">
        <v>74</v>
      </c>
      <c r="T82" t="s">
        <v>74</v>
      </c>
      <c r="U82" t="s">
        <v>1480</v>
      </c>
      <c r="V82" t="s">
        <v>1481</v>
      </c>
      <c r="W82" t="s">
        <v>1482</v>
      </c>
      <c r="X82" t="s">
        <v>1483</v>
      </c>
      <c r="Y82" t="s">
        <v>1484</v>
      </c>
      <c r="Z82" t="s">
        <v>1485</v>
      </c>
      <c r="AA82" t="s">
        <v>1486</v>
      </c>
      <c r="AB82" t="s">
        <v>1487</v>
      </c>
      <c r="AC82" t="s">
        <v>74</v>
      </c>
      <c r="AD82" t="s">
        <v>74</v>
      </c>
      <c r="AE82" t="s">
        <v>74</v>
      </c>
      <c r="AF82" t="s">
        <v>74</v>
      </c>
      <c r="AG82">
        <v>69</v>
      </c>
      <c r="AH82">
        <v>133</v>
      </c>
      <c r="AI82">
        <v>148</v>
      </c>
      <c r="AJ82">
        <v>3</v>
      </c>
      <c r="AK82">
        <v>38</v>
      </c>
      <c r="AL82" t="s">
        <v>1488</v>
      </c>
      <c r="AM82" t="s">
        <v>1489</v>
      </c>
      <c r="AN82" t="s">
        <v>1490</v>
      </c>
      <c r="AO82" t="s">
        <v>1491</v>
      </c>
      <c r="AP82" t="s">
        <v>74</v>
      </c>
      <c r="AQ82" t="s">
        <v>74</v>
      </c>
      <c r="AR82" t="s">
        <v>1492</v>
      </c>
      <c r="AS82" t="s">
        <v>1493</v>
      </c>
      <c r="AT82" t="s">
        <v>913</v>
      </c>
      <c r="AU82">
        <v>2004</v>
      </c>
      <c r="AV82">
        <v>54</v>
      </c>
      <c r="AW82" t="s">
        <v>74</v>
      </c>
      <c r="AX82">
        <v>2</v>
      </c>
      <c r="AY82" t="s">
        <v>74</v>
      </c>
      <c r="AZ82" t="s">
        <v>74</v>
      </c>
      <c r="BA82" t="s">
        <v>74</v>
      </c>
      <c r="BB82">
        <v>499</v>
      </c>
      <c r="BC82">
        <v>511</v>
      </c>
      <c r="BD82" t="s">
        <v>74</v>
      </c>
      <c r="BE82" t="s">
        <v>1494</v>
      </c>
      <c r="BF82" t="str">
        <f>HYPERLINK("http://dx.doi.org/10.1099/ijs.0.02799-0","http://dx.doi.org/10.1099/ijs.0.02799-0")</f>
        <v>http://dx.doi.org/10.1099/ijs.0.02799-0</v>
      </c>
      <c r="BG82" t="s">
        <v>74</v>
      </c>
      <c r="BH82" t="s">
        <v>74</v>
      </c>
      <c r="BI82">
        <v>13</v>
      </c>
      <c r="BJ82" t="s">
        <v>743</v>
      </c>
      <c r="BK82" t="s">
        <v>96</v>
      </c>
      <c r="BL82" t="s">
        <v>743</v>
      </c>
      <c r="BM82" t="s">
        <v>1495</v>
      </c>
      <c r="BN82">
        <v>15023967</v>
      </c>
      <c r="BO82" t="s">
        <v>74</v>
      </c>
      <c r="BP82" t="s">
        <v>74</v>
      </c>
      <c r="BQ82" t="s">
        <v>74</v>
      </c>
      <c r="BR82" t="s">
        <v>99</v>
      </c>
      <c r="BS82" t="s">
        <v>1496</v>
      </c>
      <c r="BT82" t="str">
        <f>HYPERLINK("https%3A%2F%2Fwww.webofscience.com%2Fwos%2Fwoscc%2Ffull-record%2FWOS:000220481000030","View Full Record in Web of Science")</f>
        <v>View Full Record in Web of Science</v>
      </c>
    </row>
    <row r="83" spans="1:72" x14ac:dyDescent="0.15">
      <c r="A83" t="s">
        <v>72</v>
      </c>
      <c r="B83" t="s">
        <v>1497</v>
      </c>
      <c r="C83" t="s">
        <v>74</v>
      </c>
      <c r="D83" t="s">
        <v>74</v>
      </c>
      <c r="E83" t="s">
        <v>74</v>
      </c>
      <c r="F83" t="s">
        <v>1497</v>
      </c>
      <c r="G83" t="s">
        <v>74</v>
      </c>
      <c r="H83" t="s">
        <v>74</v>
      </c>
      <c r="I83" t="s">
        <v>1498</v>
      </c>
      <c r="J83" t="s">
        <v>1499</v>
      </c>
      <c r="K83" t="s">
        <v>74</v>
      </c>
      <c r="L83" t="s">
        <v>74</v>
      </c>
      <c r="M83" t="s">
        <v>77</v>
      </c>
      <c r="N83" t="s">
        <v>311</v>
      </c>
      <c r="O83" t="s">
        <v>1500</v>
      </c>
      <c r="P83" t="s">
        <v>1501</v>
      </c>
      <c r="Q83" t="s">
        <v>1502</v>
      </c>
      <c r="R83" t="s">
        <v>74</v>
      </c>
      <c r="S83" t="s">
        <v>1503</v>
      </c>
      <c r="T83" t="s">
        <v>1504</v>
      </c>
      <c r="U83" t="s">
        <v>1505</v>
      </c>
      <c r="V83" t="s">
        <v>1506</v>
      </c>
      <c r="W83" t="s">
        <v>647</v>
      </c>
      <c r="X83" t="s">
        <v>82</v>
      </c>
      <c r="Y83" t="s">
        <v>1507</v>
      </c>
      <c r="Z83" t="s">
        <v>74</v>
      </c>
      <c r="AA83" t="s">
        <v>74</v>
      </c>
      <c r="AB83" t="s">
        <v>1508</v>
      </c>
      <c r="AC83" t="s">
        <v>74</v>
      </c>
      <c r="AD83" t="s">
        <v>74</v>
      </c>
      <c r="AE83" t="s">
        <v>74</v>
      </c>
      <c r="AF83" t="s">
        <v>74</v>
      </c>
      <c r="AG83">
        <v>5</v>
      </c>
      <c r="AH83">
        <v>0</v>
      </c>
      <c r="AI83">
        <v>0</v>
      </c>
      <c r="AJ83">
        <v>0</v>
      </c>
      <c r="AK83">
        <v>0</v>
      </c>
      <c r="AL83" t="s">
        <v>1503</v>
      </c>
      <c r="AM83" t="s">
        <v>1417</v>
      </c>
      <c r="AN83" t="s">
        <v>1509</v>
      </c>
      <c r="AO83" t="s">
        <v>1510</v>
      </c>
      <c r="AP83" t="s">
        <v>74</v>
      </c>
      <c r="AQ83" t="s">
        <v>74</v>
      </c>
      <c r="AR83" t="s">
        <v>1511</v>
      </c>
      <c r="AS83" t="s">
        <v>1512</v>
      </c>
      <c r="AT83" t="s">
        <v>1319</v>
      </c>
      <c r="AU83">
        <v>2004</v>
      </c>
      <c r="AV83">
        <v>57</v>
      </c>
      <c r="AW83" t="s">
        <v>710</v>
      </c>
      <c r="AX83" t="s">
        <v>74</v>
      </c>
      <c r="AY83" t="s">
        <v>74</v>
      </c>
      <c r="AZ83" t="s">
        <v>74</v>
      </c>
      <c r="BA83" t="s">
        <v>74</v>
      </c>
      <c r="BB83">
        <v>108</v>
      </c>
      <c r="BC83">
        <v>112</v>
      </c>
      <c r="BD83" t="s">
        <v>74</v>
      </c>
      <c r="BE83" t="s">
        <v>74</v>
      </c>
      <c r="BF83" t="s">
        <v>74</v>
      </c>
      <c r="BG83" t="s">
        <v>74</v>
      </c>
      <c r="BH83" t="s">
        <v>74</v>
      </c>
      <c r="BI83">
        <v>5</v>
      </c>
      <c r="BJ83" t="s">
        <v>1513</v>
      </c>
      <c r="BK83" t="s">
        <v>1116</v>
      </c>
      <c r="BL83" t="s">
        <v>1514</v>
      </c>
      <c r="BM83" t="s">
        <v>1515</v>
      </c>
      <c r="BN83" t="s">
        <v>74</v>
      </c>
      <c r="BO83" t="s">
        <v>74</v>
      </c>
      <c r="BP83" t="s">
        <v>74</v>
      </c>
      <c r="BQ83" t="s">
        <v>74</v>
      </c>
      <c r="BR83" t="s">
        <v>99</v>
      </c>
      <c r="BS83" t="s">
        <v>1516</v>
      </c>
      <c r="BT83" t="str">
        <f>HYPERLINK("https%3A%2F%2Fwww.webofscience.com%2Fwos%2Fwoscc%2Ffull-record%2FWOS:000188783800007","View Full Record in Web of Science")</f>
        <v>View Full Record in Web of Science</v>
      </c>
    </row>
    <row r="84" spans="1:72" x14ac:dyDescent="0.15">
      <c r="A84" t="s">
        <v>72</v>
      </c>
      <c r="B84" t="s">
        <v>1517</v>
      </c>
      <c r="C84" t="s">
        <v>74</v>
      </c>
      <c r="D84" t="s">
        <v>74</v>
      </c>
      <c r="E84" t="s">
        <v>74</v>
      </c>
      <c r="F84" t="s">
        <v>1517</v>
      </c>
      <c r="G84" t="s">
        <v>74</v>
      </c>
      <c r="H84" t="s">
        <v>74</v>
      </c>
      <c r="I84" t="s">
        <v>1518</v>
      </c>
      <c r="J84" t="s">
        <v>1519</v>
      </c>
      <c r="K84" t="s">
        <v>74</v>
      </c>
      <c r="L84" t="s">
        <v>74</v>
      </c>
      <c r="M84" t="s">
        <v>77</v>
      </c>
      <c r="N84" t="s">
        <v>78</v>
      </c>
      <c r="O84" t="s">
        <v>74</v>
      </c>
      <c r="P84" t="s">
        <v>74</v>
      </c>
      <c r="Q84" t="s">
        <v>74</v>
      </c>
      <c r="R84" t="s">
        <v>74</v>
      </c>
      <c r="S84" t="s">
        <v>74</v>
      </c>
      <c r="T84" t="s">
        <v>1520</v>
      </c>
      <c r="U84" t="s">
        <v>1521</v>
      </c>
      <c r="V84" t="s">
        <v>1522</v>
      </c>
      <c r="W84" t="s">
        <v>1523</v>
      </c>
      <c r="X84" t="s">
        <v>1524</v>
      </c>
      <c r="Y84" t="s">
        <v>1525</v>
      </c>
      <c r="Z84" t="s">
        <v>1526</v>
      </c>
      <c r="AA84" t="s">
        <v>74</v>
      </c>
      <c r="AB84" t="s">
        <v>1527</v>
      </c>
      <c r="AC84" t="s">
        <v>74</v>
      </c>
      <c r="AD84" t="s">
        <v>74</v>
      </c>
      <c r="AE84" t="s">
        <v>74</v>
      </c>
      <c r="AF84" t="s">
        <v>74</v>
      </c>
      <c r="AG84">
        <v>27</v>
      </c>
      <c r="AH84">
        <v>31</v>
      </c>
      <c r="AI84">
        <v>35</v>
      </c>
      <c r="AJ84">
        <v>5</v>
      </c>
      <c r="AK84">
        <v>29</v>
      </c>
      <c r="AL84" t="s">
        <v>528</v>
      </c>
      <c r="AM84" t="s">
        <v>529</v>
      </c>
      <c r="AN84" t="s">
        <v>530</v>
      </c>
      <c r="AO84" t="s">
        <v>1528</v>
      </c>
      <c r="AP84" t="s">
        <v>1529</v>
      </c>
      <c r="AQ84" t="s">
        <v>74</v>
      </c>
      <c r="AR84" t="s">
        <v>1530</v>
      </c>
      <c r="AS84" t="s">
        <v>1531</v>
      </c>
      <c r="AT84" t="s">
        <v>913</v>
      </c>
      <c r="AU84">
        <v>2004</v>
      </c>
      <c r="AV84">
        <v>71</v>
      </c>
      <c r="AW84">
        <v>1</v>
      </c>
      <c r="AX84" t="s">
        <v>74</v>
      </c>
      <c r="AY84" t="s">
        <v>74</v>
      </c>
      <c r="AZ84" t="s">
        <v>74</v>
      </c>
      <c r="BA84" t="s">
        <v>74</v>
      </c>
      <c r="BB84">
        <v>107</v>
      </c>
      <c r="BC84">
        <v>118</v>
      </c>
      <c r="BD84" t="s">
        <v>74</v>
      </c>
      <c r="BE84" t="s">
        <v>1532</v>
      </c>
      <c r="BF84" t="str">
        <f>HYPERLINK("http://dx.doi.org/10.1016/S0165-2370(03)00101-3","http://dx.doi.org/10.1016/S0165-2370(03)00101-3")</f>
        <v>http://dx.doi.org/10.1016/S0165-2370(03)00101-3</v>
      </c>
      <c r="BG84" t="s">
        <v>74</v>
      </c>
      <c r="BH84" t="s">
        <v>74</v>
      </c>
      <c r="BI84">
        <v>12</v>
      </c>
      <c r="BJ84" t="s">
        <v>1533</v>
      </c>
      <c r="BK84" t="s">
        <v>96</v>
      </c>
      <c r="BL84" t="s">
        <v>1534</v>
      </c>
      <c r="BM84" t="s">
        <v>1535</v>
      </c>
      <c r="BN84" t="s">
        <v>74</v>
      </c>
      <c r="BO84" t="s">
        <v>74</v>
      </c>
      <c r="BP84" t="s">
        <v>74</v>
      </c>
      <c r="BQ84" t="s">
        <v>74</v>
      </c>
      <c r="BR84" t="s">
        <v>99</v>
      </c>
      <c r="BS84" t="s">
        <v>1536</v>
      </c>
      <c r="BT84" t="str">
        <f>HYPERLINK("https%3A%2F%2Fwww.webofscience.com%2Fwos%2Fwoscc%2Ffull-record%2FWOS:000220881800008","View Full Record in Web of Science")</f>
        <v>View Full Record in Web of Science</v>
      </c>
    </row>
    <row r="85" spans="1:72" x14ac:dyDescent="0.15">
      <c r="A85" t="s">
        <v>72</v>
      </c>
      <c r="B85" t="s">
        <v>1537</v>
      </c>
      <c r="C85" t="s">
        <v>74</v>
      </c>
      <c r="D85" t="s">
        <v>74</v>
      </c>
      <c r="E85" t="s">
        <v>74</v>
      </c>
      <c r="F85" t="s">
        <v>1537</v>
      </c>
      <c r="G85" t="s">
        <v>74</v>
      </c>
      <c r="H85" t="s">
        <v>74</v>
      </c>
      <c r="I85" t="s">
        <v>1538</v>
      </c>
      <c r="J85" t="s">
        <v>1539</v>
      </c>
      <c r="K85" t="s">
        <v>74</v>
      </c>
      <c r="L85" t="s">
        <v>74</v>
      </c>
      <c r="M85" t="s">
        <v>77</v>
      </c>
      <c r="N85" t="s">
        <v>78</v>
      </c>
      <c r="O85" t="s">
        <v>74</v>
      </c>
      <c r="P85" t="s">
        <v>74</v>
      </c>
      <c r="Q85" t="s">
        <v>74</v>
      </c>
      <c r="R85" t="s">
        <v>74</v>
      </c>
      <c r="S85" t="s">
        <v>74</v>
      </c>
      <c r="T85" t="s">
        <v>74</v>
      </c>
      <c r="U85" t="s">
        <v>1540</v>
      </c>
      <c r="V85" t="s">
        <v>1541</v>
      </c>
      <c r="W85" t="s">
        <v>1542</v>
      </c>
      <c r="X85" t="s">
        <v>1543</v>
      </c>
      <c r="Y85" t="s">
        <v>1544</v>
      </c>
      <c r="Z85" t="s">
        <v>1545</v>
      </c>
      <c r="AA85" t="s">
        <v>1546</v>
      </c>
      <c r="AB85" t="s">
        <v>1547</v>
      </c>
      <c r="AC85" t="s">
        <v>74</v>
      </c>
      <c r="AD85" t="s">
        <v>74</v>
      </c>
      <c r="AE85" t="s">
        <v>74</v>
      </c>
      <c r="AF85" t="s">
        <v>74</v>
      </c>
      <c r="AG85">
        <v>37</v>
      </c>
      <c r="AH85">
        <v>16</v>
      </c>
      <c r="AI85">
        <v>16</v>
      </c>
      <c r="AJ85">
        <v>0</v>
      </c>
      <c r="AK85">
        <v>15</v>
      </c>
      <c r="AL85" t="s">
        <v>177</v>
      </c>
      <c r="AM85" t="s">
        <v>178</v>
      </c>
      <c r="AN85" t="s">
        <v>179</v>
      </c>
      <c r="AO85" t="s">
        <v>1548</v>
      </c>
      <c r="AP85" t="s">
        <v>1549</v>
      </c>
      <c r="AQ85" t="s">
        <v>74</v>
      </c>
      <c r="AR85" t="s">
        <v>1550</v>
      </c>
      <c r="AS85" t="s">
        <v>1551</v>
      </c>
      <c r="AT85" t="s">
        <v>913</v>
      </c>
      <c r="AU85">
        <v>2004</v>
      </c>
      <c r="AV85">
        <v>35</v>
      </c>
      <c r="AW85">
        <v>2</v>
      </c>
      <c r="AX85" t="s">
        <v>74</v>
      </c>
      <c r="AY85" t="s">
        <v>74</v>
      </c>
      <c r="AZ85" t="s">
        <v>74</v>
      </c>
      <c r="BA85" t="s">
        <v>74</v>
      </c>
      <c r="BB85">
        <v>153</v>
      </c>
      <c r="BC85">
        <v>161</v>
      </c>
      <c r="BD85" t="s">
        <v>74</v>
      </c>
      <c r="BE85" t="s">
        <v>1552</v>
      </c>
      <c r="BF85" t="str">
        <f>HYPERLINK("http://dx.doi.org/10.1111/j.0908-8857.2004.03138.x","http://dx.doi.org/10.1111/j.0908-8857.2004.03138.x")</f>
        <v>http://dx.doi.org/10.1111/j.0908-8857.2004.03138.x</v>
      </c>
      <c r="BG85" t="s">
        <v>74</v>
      </c>
      <c r="BH85" t="s">
        <v>74</v>
      </c>
      <c r="BI85">
        <v>9</v>
      </c>
      <c r="BJ85" t="s">
        <v>1553</v>
      </c>
      <c r="BK85" t="s">
        <v>96</v>
      </c>
      <c r="BL85" t="s">
        <v>331</v>
      </c>
      <c r="BM85" t="s">
        <v>1554</v>
      </c>
      <c r="BN85" t="s">
        <v>74</v>
      </c>
      <c r="BO85" t="s">
        <v>74</v>
      </c>
      <c r="BP85" t="s">
        <v>74</v>
      </c>
      <c r="BQ85" t="s">
        <v>74</v>
      </c>
      <c r="BR85" t="s">
        <v>99</v>
      </c>
      <c r="BS85" t="s">
        <v>1555</v>
      </c>
      <c r="BT85" t="str">
        <f>HYPERLINK("https%3A%2F%2Fwww.webofscience.com%2Fwos%2Fwoscc%2Ffull-record%2FWOS:000220220600009","View Full Record in Web of Science")</f>
        <v>View Full Record in Web of Science</v>
      </c>
    </row>
    <row r="86" spans="1:72" x14ac:dyDescent="0.15">
      <c r="A86" t="s">
        <v>72</v>
      </c>
      <c r="B86" t="s">
        <v>1556</v>
      </c>
      <c r="C86" t="s">
        <v>74</v>
      </c>
      <c r="D86" t="s">
        <v>74</v>
      </c>
      <c r="E86" t="s">
        <v>74</v>
      </c>
      <c r="F86" t="s">
        <v>1556</v>
      </c>
      <c r="G86" t="s">
        <v>74</v>
      </c>
      <c r="H86" t="s">
        <v>74</v>
      </c>
      <c r="I86" t="s">
        <v>1557</v>
      </c>
      <c r="J86" t="s">
        <v>1558</v>
      </c>
      <c r="K86" t="s">
        <v>74</v>
      </c>
      <c r="L86" t="s">
        <v>74</v>
      </c>
      <c r="M86" t="s">
        <v>77</v>
      </c>
      <c r="N86" t="s">
        <v>78</v>
      </c>
      <c r="O86" t="s">
        <v>74</v>
      </c>
      <c r="P86" t="s">
        <v>74</v>
      </c>
      <c r="Q86" t="s">
        <v>74</v>
      </c>
      <c r="R86" t="s">
        <v>74</v>
      </c>
      <c r="S86" t="s">
        <v>74</v>
      </c>
      <c r="T86" t="s">
        <v>74</v>
      </c>
      <c r="U86" t="s">
        <v>1559</v>
      </c>
      <c r="V86" t="s">
        <v>1560</v>
      </c>
      <c r="W86" t="s">
        <v>1561</v>
      </c>
      <c r="X86" t="s">
        <v>1562</v>
      </c>
      <c r="Y86" t="s">
        <v>1563</v>
      </c>
      <c r="Z86" t="s">
        <v>1564</v>
      </c>
      <c r="AA86" t="s">
        <v>1565</v>
      </c>
      <c r="AB86" t="s">
        <v>1566</v>
      </c>
      <c r="AC86" t="s">
        <v>74</v>
      </c>
      <c r="AD86" t="s">
        <v>74</v>
      </c>
      <c r="AE86" t="s">
        <v>74</v>
      </c>
      <c r="AF86" t="s">
        <v>74</v>
      </c>
      <c r="AG86">
        <v>74</v>
      </c>
      <c r="AH86">
        <v>113</v>
      </c>
      <c r="AI86">
        <v>128</v>
      </c>
      <c r="AJ86">
        <v>0</v>
      </c>
      <c r="AK86">
        <v>21</v>
      </c>
      <c r="AL86" t="s">
        <v>297</v>
      </c>
      <c r="AM86" t="s">
        <v>298</v>
      </c>
      <c r="AN86" t="s">
        <v>1567</v>
      </c>
      <c r="AO86" t="s">
        <v>1568</v>
      </c>
      <c r="AP86" t="s">
        <v>1569</v>
      </c>
      <c r="AQ86" t="s">
        <v>74</v>
      </c>
      <c r="AR86" t="s">
        <v>1570</v>
      </c>
      <c r="AS86" t="s">
        <v>1571</v>
      </c>
      <c r="AT86" t="s">
        <v>913</v>
      </c>
      <c r="AU86">
        <v>2004</v>
      </c>
      <c r="AV86">
        <v>17</v>
      </c>
      <c r="AW86">
        <v>5</v>
      </c>
      <c r="AX86" t="s">
        <v>74</v>
      </c>
      <c r="AY86" t="s">
        <v>74</v>
      </c>
      <c r="AZ86" t="s">
        <v>74</v>
      </c>
      <c r="BA86" t="s">
        <v>74</v>
      </c>
      <c r="BB86">
        <v>1040</v>
      </c>
      <c r="BC86">
        <v>1054</v>
      </c>
      <c r="BD86" t="s">
        <v>74</v>
      </c>
      <c r="BE86" t="s">
        <v>1572</v>
      </c>
      <c r="BF86" t="str">
        <f>HYPERLINK("http://dx.doi.org/10.1175/1520-0442(2004)017&lt;1040:ORTCIT&gt;2.0.CO;2","http://dx.doi.org/10.1175/1520-0442(2004)017&lt;1040:ORTCIT&gt;2.0.CO;2")</f>
        <v>http://dx.doi.org/10.1175/1520-0442(2004)017&lt;1040:ORTCIT&gt;2.0.CO;2</v>
      </c>
      <c r="BG86" t="s">
        <v>74</v>
      </c>
      <c r="BH86" t="s">
        <v>74</v>
      </c>
      <c r="BI86">
        <v>15</v>
      </c>
      <c r="BJ86" t="s">
        <v>186</v>
      </c>
      <c r="BK86" t="s">
        <v>96</v>
      </c>
      <c r="BL86" t="s">
        <v>186</v>
      </c>
      <c r="BM86" t="s">
        <v>1573</v>
      </c>
      <c r="BN86" t="s">
        <v>74</v>
      </c>
      <c r="BO86" t="s">
        <v>541</v>
      </c>
      <c r="BP86" t="s">
        <v>74</v>
      </c>
      <c r="BQ86" t="s">
        <v>74</v>
      </c>
      <c r="BR86" t="s">
        <v>99</v>
      </c>
      <c r="BS86" t="s">
        <v>1574</v>
      </c>
      <c r="BT86" t="str">
        <f>HYPERLINK("https%3A%2F%2Fwww.webofscience.com%2Fwos%2Fwoscc%2Ffull-record%2FWOS:000220114100011","View Full Record in Web of Science")</f>
        <v>View Full Record in Web of Science</v>
      </c>
    </row>
    <row r="87" spans="1:72" x14ac:dyDescent="0.15">
      <c r="A87" t="s">
        <v>72</v>
      </c>
      <c r="B87" t="s">
        <v>1575</v>
      </c>
      <c r="C87" t="s">
        <v>74</v>
      </c>
      <c r="D87" t="s">
        <v>74</v>
      </c>
      <c r="E87" t="s">
        <v>74</v>
      </c>
      <c r="F87" t="s">
        <v>1575</v>
      </c>
      <c r="G87" t="s">
        <v>74</v>
      </c>
      <c r="H87" t="s">
        <v>74</v>
      </c>
      <c r="I87" t="s">
        <v>1576</v>
      </c>
      <c r="J87" t="s">
        <v>1558</v>
      </c>
      <c r="K87" t="s">
        <v>74</v>
      </c>
      <c r="L87" t="s">
        <v>74</v>
      </c>
      <c r="M87" t="s">
        <v>77</v>
      </c>
      <c r="N87" t="s">
        <v>78</v>
      </c>
      <c r="O87" t="s">
        <v>74</v>
      </c>
      <c r="P87" t="s">
        <v>74</v>
      </c>
      <c r="Q87" t="s">
        <v>74</v>
      </c>
      <c r="R87" t="s">
        <v>74</v>
      </c>
      <c r="S87" t="s">
        <v>74</v>
      </c>
      <c r="T87" t="s">
        <v>74</v>
      </c>
      <c r="U87" t="s">
        <v>1577</v>
      </c>
      <c r="V87" t="s">
        <v>1578</v>
      </c>
      <c r="W87" t="s">
        <v>1579</v>
      </c>
      <c r="X87" t="s">
        <v>1580</v>
      </c>
      <c r="Y87" t="s">
        <v>1581</v>
      </c>
      <c r="Z87" t="s">
        <v>1582</v>
      </c>
      <c r="AA87" t="s">
        <v>1583</v>
      </c>
      <c r="AB87" t="s">
        <v>74</v>
      </c>
      <c r="AC87" t="s">
        <v>74</v>
      </c>
      <c r="AD87" t="s">
        <v>74</v>
      </c>
      <c r="AE87" t="s">
        <v>74</v>
      </c>
      <c r="AF87" t="s">
        <v>74</v>
      </c>
      <c r="AG87">
        <v>48</v>
      </c>
      <c r="AH87">
        <v>22</v>
      </c>
      <c r="AI87">
        <v>23</v>
      </c>
      <c r="AJ87">
        <v>0</v>
      </c>
      <c r="AK87">
        <v>6</v>
      </c>
      <c r="AL87" t="s">
        <v>297</v>
      </c>
      <c r="AM87" t="s">
        <v>298</v>
      </c>
      <c r="AN87" t="s">
        <v>299</v>
      </c>
      <c r="AO87" t="s">
        <v>1568</v>
      </c>
      <c r="AP87" t="s">
        <v>74</v>
      </c>
      <c r="AQ87" t="s">
        <v>74</v>
      </c>
      <c r="AR87" t="s">
        <v>1570</v>
      </c>
      <c r="AS87" t="s">
        <v>1571</v>
      </c>
      <c r="AT87" t="s">
        <v>913</v>
      </c>
      <c r="AU87">
        <v>2004</v>
      </c>
      <c r="AV87">
        <v>17</v>
      </c>
      <c r="AW87">
        <v>6</v>
      </c>
      <c r="AX87" t="s">
        <v>74</v>
      </c>
      <c r="AY87" t="s">
        <v>74</v>
      </c>
      <c r="AZ87" t="s">
        <v>74</v>
      </c>
      <c r="BA87" t="s">
        <v>74</v>
      </c>
      <c r="BB87">
        <v>1198</v>
      </c>
      <c r="BC87">
        <v>1212</v>
      </c>
      <c r="BD87" t="s">
        <v>74</v>
      </c>
      <c r="BE87" t="s">
        <v>1584</v>
      </c>
      <c r="BF87" t="str">
        <f>HYPERLINK("http://dx.doi.org/10.1175/1520-0442(2004)017&lt;1198:ACARWT&gt;2.0.CO;2","http://dx.doi.org/10.1175/1520-0442(2004)017&lt;1198:ACARWT&gt;2.0.CO;2")</f>
        <v>http://dx.doi.org/10.1175/1520-0442(2004)017&lt;1198:ACARWT&gt;2.0.CO;2</v>
      </c>
      <c r="BG87" t="s">
        <v>74</v>
      </c>
      <c r="BH87" t="s">
        <v>74</v>
      </c>
      <c r="BI87">
        <v>15</v>
      </c>
      <c r="BJ87" t="s">
        <v>186</v>
      </c>
      <c r="BK87" t="s">
        <v>96</v>
      </c>
      <c r="BL87" t="s">
        <v>186</v>
      </c>
      <c r="BM87" t="s">
        <v>1585</v>
      </c>
      <c r="BN87" t="s">
        <v>74</v>
      </c>
      <c r="BO87" t="s">
        <v>541</v>
      </c>
      <c r="BP87" t="s">
        <v>74</v>
      </c>
      <c r="BQ87" t="s">
        <v>74</v>
      </c>
      <c r="BR87" t="s">
        <v>99</v>
      </c>
      <c r="BS87" t="s">
        <v>1586</v>
      </c>
      <c r="BT87" t="str">
        <f>HYPERLINK("https%3A%2F%2Fwww.webofscience.com%2Fwos%2Fwoscc%2Ffull-record%2FWOS:000220450100004","View Full Record in Web of Science")</f>
        <v>View Full Record in Web of Science</v>
      </c>
    </row>
    <row r="88" spans="1:72" x14ac:dyDescent="0.15">
      <c r="A88" t="s">
        <v>72</v>
      </c>
      <c r="B88" t="s">
        <v>1587</v>
      </c>
      <c r="C88" t="s">
        <v>74</v>
      </c>
      <c r="D88" t="s">
        <v>74</v>
      </c>
      <c r="E88" t="s">
        <v>74</v>
      </c>
      <c r="F88" t="s">
        <v>1587</v>
      </c>
      <c r="G88" t="s">
        <v>74</v>
      </c>
      <c r="H88" t="s">
        <v>74</v>
      </c>
      <c r="I88" t="s">
        <v>1588</v>
      </c>
      <c r="J88" t="s">
        <v>1589</v>
      </c>
      <c r="K88" t="s">
        <v>74</v>
      </c>
      <c r="L88" t="s">
        <v>74</v>
      </c>
      <c r="M88" t="s">
        <v>77</v>
      </c>
      <c r="N88" t="s">
        <v>78</v>
      </c>
      <c r="O88" t="s">
        <v>74</v>
      </c>
      <c r="P88" t="s">
        <v>74</v>
      </c>
      <c r="Q88" t="s">
        <v>74</v>
      </c>
      <c r="R88" t="s">
        <v>74</v>
      </c>
      <c r="S88" t="s">
        <v>74</v>
      </c>
      <c r="T88" t="s">
        <v>1590</v>
      </c>
      <c r="U88" t="s">
        <v>1591</v>
      </c>
      <c r="V88" t="s">
        <v>1592</v>
      </c>
      <c r="W88" t="s">
        <v>1593</v>
      </c>
      <c r="X88" t="s">
        <v>1594</v>
      </c>
      <c r="Y88" t="s">
        <v>1595</v>
      </c>
      <c r="Z88" t="s">
        <v>74</v>
      </c>
      <c r="AA88" t="s">
        <v>1596</v>
      </c>
      <c r="AB88" t="s">
        <v>1597</v>
      </c>
      <c r="AC88" t="s">
        <v>74</v>
      </c>
      <c r="AD88" t="s">
        <v>74</v>
      </c>
      <c r="AE88" t="s">
        <v>74</v>
      </c>
      <c r="AF88" t="s">
        <v>74</v>
      </c>
      <c r="AG88">
        <v>94</v>
      </c>
      <c r="AH88">
        <v>72</v>
      </c>
      <c r="AI88">
        <v>80</v>
      </c>
      <c r="AJ88">
        <v>0</v>
      </c>
      <c r="AK88">
        <v>69</v>
      </c>
      <c r="AL88" t="s">
        <v>1598</v>
      </c>
      <c r="AM88" t="s">
        <v>1599</v>
      </c>
      <c r="AN88" t="s">
        <v>1600</v>
      </c>
      <c r="AO88" t="s">
        <v>1601</v>
      </c>
      <c r="AP88" t="s">
        <v>1602</v>
      </c>
      <c r="AQ88" t="s">
        <v>74</v>
      </c>
      <c r="AR88" t="s">
        <v>1603</v>
      </c>
      <c r="AS88" t="s">
        <v>1604</v>
      </c>
      <c r="AT88" t="s">
        <v>1471</v>
      </c>
      <c r="AU88">
        <v>2004</v>
      </c>
      <c r="AV88">
        <v>20</v>
      </c>
      <c r="AW88">
        <v>2</v>
      </c>
      <c r="AX88" t="s">
        <v>74</v>
      </c>
      <c r="AY88" t="s">
        <v>74</v>
      </c>
      <c r="AZ88" t="s">
        <v>74</v>
      </c>
      <c r="BA88" t="s">
        <v>74</v>
      </c>
      <c r="BB88">
        <v>586</v>
      </c>
      <c r="BC88">
        <v>598</v>
      </c>
      <c r="BD88" t="s">
        <v>74</v>
      </c>
      <c r="BE88" t="s">
        <v>1605</v>
      </c>
      <c r="BF88" t="str">
        <f>HYPERLINK("http://dx.doi.org/10.2112/1551-5036(2004)020[0586:USLRPF]2.0.CO;2","http://dx.doi.org/10.2112/1551-5036(2004)020[0586:USLRPF]2.0.CO;2")</f>
        <v>http://dx.doi.org/10.2112/1551-5036(2004)020[0586:USLRPF]2.0.CO;2</v>
      </c>
      <c r="BG88" t="s">
        <v>74</v>
      </c>
      <c r="BH88" t="s">
        <v>74</v>
      </c>
      <c r="BI88">
        <v>13</v>
      </c>
      <c r="BJ88" t="s">
        <v>948</v>
      </c>
      <c r="BK88" t="s">
        <v>96</v>
      </c>
      <c r="BL88" t="s">
        <v>949</v>
      </c>
      <c r="BM88" t="s">
        <v>1606</v>
      </c>
      <c r="BN88" t="s">
        <v>74</v>
      </c>
      <c r="BO88" t="s">
        <v>541</v>
      </c>
      <c r="BP88" t="s">
        <v>74</v>
      </c>
      <c r="BQ88" t="s">
        <v>74</v>
      </c>
      <c r="BR88" t="s">
        <v>99</v>
      </c>
      <c r="BS88" t="s">
        <v>1607</v>
      </c>
      <c r="BT88" t="str">
        <f>HYPERLINK("https%3A%2F%2Fwww.webofscience.com%2Fwos%2Fwoscc%2Ffull-record%2FWOS:000222956700017","View Full Record in Web of Science")</f>
        <v>View Full Record in Web of Science</v>
      </c>
    </row>
    <row r="89" spans="1:72" x14ac:dyDescent="0.15">
      <c r="A89" t="s">
        <v>72</v>
      </c>
      <c r="B89" t="s">
        <v>1608</v>
      </c>
      <c r="C89" t="s">
        <v>74</v>
      </c>
      <c r="D89" t="s">
        <v>74</v>
      </c>
      <c r="E89" t="s">
        <v>74</v>
      </c>
      <c r="F89" t="s">
        <v>1608</v>
      </c>
      <c r="G89" t="s">
        <v>74</v>
      </c>
      <c r="H89" t="s">
        <v>74</v>
      </c>
      <c r="I89" t="s">
        <v>1609</v>
      </c>
      <c r="J89" t="s">
        <v>1610</v>
      </c>
      <c r="K89" t="s">
        <v>74</v>
      </c>
      <c r="L89" t="s">
        <v>74</v>
      </c>
      <c r="M89" t="s">
        <v>77</v>
      </c>
      <c r="N89" t="s">
        <v>78</v>
      </c>
      <c r="O89" t="s">
        <v>74</v>
      </c>
      <c r="P89" t="s">
        <v>74</v>
      </c>
      <c r="Q89" t="s">
        <v>74</v>
      </c>
      <c r="R89" t="s">
        <v>74</v>
      </c>
      <c r="S89" t="s">
        <v>74</v>
      </c>
      <c r="T89" t="s">
        <v>74</v>
      </c>
      <c r="U89" t="s">
        <v>1611</v>
      </c>
      <c r="V89" t="s">
        <v>1612</v>
      </c>
      <c r="W89" t="s">
        <v>1613</v>
      </c>
      <c r="X89" t="s">
        <v>1614</v>
      </c>
      <c r="Y89" t="s">
        <v>1615</v>
      </c>
      <c r="Z89" t="s">
        <v>1616</v>
      </c>
      <c r="AA89" t="s">
        <v>1617</v>
      </c>
      <c r="AB89" t="s">
        <v>74</v>
      </c>
      <c r="AC89" t="s">
        <v>74</v>
      </c>
      <c r="AD89" t="s">
        <v>74</v>
      </c>
      <c r="AE89" t="s">
        <v>74</v>
      </c>
      <c r="AF89" t="s">
        <v>74</v>
      </c>
      <c r="AG89">
        <v>15</v>
      </c>
      <c r="AH89">
        <v>2</v>
      </c>
      <c r="AI89">
        <v>2</v>
      </c>
      <c r="AJ89">
        <v>0</v>
      </c>
      <c r="AK89">
        <v>1</v>
      </c>
      <c r="AL89" t="s">
        <v>1618</v>
      </c>
      <c r="AM89" t="s">
        <v>1619</v>
      </c>
      <c r="AN89" t="s">
        <v>1620</v>
      </c>
      <c r="AO89" t="s">
        <v>1621</v>
      </c>
      <c r="AP89" t="s">
        <v>74</v>
      </c>
      <c r="AQ89" t="s">
        <v>74</v>
      </c>
      <c r="AR89" t="s">
        <v>1622</v>
      </c>
      <c r="AS89" t="s">
        <v>1623</v>
      </c>
      <c r="AT89" t="s">
        <v>913</v>
      </c>
      <c r="AU89">
        <v>2004</v>
      </c>
      <c r="AV89">
        <v>9</v>
      </c>
      <c r="AW89">
        <v>1</v>
      </c>
      <c r="AX89" t="s">
        <v>74</v>
      </c>
      <c r="AY89" t="s">
        <v>74</v>
      </c>
      <c r="AZ89" t="s">
        <v>74</v>
      </c>
      <c r="BA89" t="s">
        <v>74</v>
      </c>
      <c r="BB89">
        <v>43</v>
      </c>
      <c r="BC89">
        <v>50</v>
      </c>
      <c r="BD89" t="s">
        <v>74</v>
      </c>
      <c r="BE89" t="s">
        <v>1624</v>
      </c>
      <c r="BF89" t="str">
        <f>HYPERLINK("http://dx.doi.org/10.4133/JEEG9.1.43","http://dx.doi.org/10.4133/JEEG9.1.43")</f>
        <v>http://dx.doi.org/10.4133/JEEG9.1.43</v>
      </c>
      <c r="BG89" t="s">
        <v>74</v>
      </c>
      <c r="BH89" t="s">
        <v>74</v>
      </c>
      <c r="BI89">
        <v>8</v>
      </c>
      <c r="BJ89" t="s">
        <v>1625</v>
      </c>
      <c r="BK89" t="s">
        <v>96</v>
      </c>
      <c r="BL89" t="s">
        <v>1626</v>
      </c>
      <c r="BM89" t="s">
        <v>1627</v>
      </c>
      <c r="BN89" t="s">
        <v>74</v>
      </c>
      <c r="BO89" t="s">
        <v>74</v>
      </c>
      <c r="BP89" t="s">
        <v>74</v>
      </c>
      <c r="BQ89" t="s">
        <v>74</v>
      </c>
      <c r="BR89" t="s">
        <v>99</v>
      </c>
      <c r="BS89" t="s">
        <v>1628</v>
      </c>
      <c r="BT89" t="str">
        <f>HYPERLINK("https%3A%2F%2Fwww.webofscience.com%2Fwos%2Fwoscc%2Ffull-record%2FWOS:000224030900005","View Full Record in Web of Science")</f>
        <v>View Full Record in Web of Science</v>
      </c>
    </row>
    <row r="90" spans="1:72" x14ac:dyDescent="0.15">
      <c r="A90" t="s">
        <v>72</v>
      </c>
      <c r="B90" t="s">
        <v>1629</v>
      </c>
      <c r="C90" t="s">
        <v>74</v>
      </c>
      <c r="D90" t="s">
        <v>74</v>
      </c>
      <c r="E90" t="s">
        <v>74</v>
      </c>
      <c r="F90" t="s">
        <v>1629</v>
      </c>
      <c r="G90" t="s">
        <v>74</v>
      </c>
      <c r="H90" t="s">
        <v>74</v>
      </c>
      <c r="I90" t="s">
        <v>1630</v>
      </c>
      <c r="J90" t="s">
        <v>1631</v>
      </c>
      <c r="K90" t="s">
        <v>74</v>
      </c>
      <c r="L90" t="s">
        <v>74</v>
      </c>
      <c r="M90" t="s">
        <v>77</v>
      </c>
      <c r="N90" t="s">
        <v>78</v>
      </c>
      <c r="O90" t="s">
        <v>74</v>
      </c>
      <c r="P90" t="s">
        <v>74</v>
      </c>
      <c r="Q90" t="s">
        <v>74</v>
      </c>
      <c r="R90" t="s">
        <v>74</v>
      </c>
      <c r="S90" t="s">
        <v>74</v>
      </c>
      <c r="T90" t="s">
        <v>1632</v>
      </c>
      <c r="U90" t="s">
        <v>1633</v>
      </c>
      <c r="V90" t="s">
        <v>1634</v>
      </c>
      <c r="W90" t="s">
        <v>1635</v>
      </c>
      <c r="X90" t="s">
        <v>1636</v>
      </c>
      <c r="Y90" t="s">
        <v>1637</v>
      </c>
      <c r="Z90" t="s">
        <v>1638</v>
      </c>
      <c r="AA90" t="s">
        <v>74</v>
      </c>
      <c r="AB90" t="s">
        <v>74</v>
      </c>
      <c r="AC90" t="s">
        <v>74</v>
      </c>
      <c r="AD90" t="s">
        <v>74</v>
      </c>
      <c r="AE90" t="s">
        <v>74</v>
      </c>
      <c r="AF90" t="s">
        <v>74</v>
      </c>
      <c r="AG90">
        <v>30</v>
      </c>
      <c r="AH90">
        <v>50</v>
      </c>
      <c r="AI90">
        <v>54</v>
      </c>
      <c r="AJ90">
        <v>0</v>
      </c>
      <c r="AK90">
        <v>3</v>
      </c>
      <c r="AL90" t="s">
        <v>1639</v>
      </c>
      <c r="AM90" t="s">
        <v>1640</v>
      </c>
      <c r="AN90" t="s">
        <v>1641</v>
      </c>
      <c r="AO90" t="s">
        <v>1642</v>
      </c>
      <c r="AP90" t="s">
        <v>74</v>
      </c>
      <c r="AQ90" t="s">
        <v>74</v>
      </c>
      <c r="AR90" t="s">
        <v>1643</v>
      </c>
      <c r="AS90" t="s">
        <v>1644</v>
      </c>
      <c r="AT90" t="s">
        <v>1319</v>
      </c>
      <c r="AU90">
        <v>2004</v>
      </c>
      <c r="AV90">
        <v>51</v>
      </c>
      <c r="AW90">
        <v>2</v>
      </c>
      <c r="AX90" t="s">
        <v>74</v>
      </c>
      <c r="AY90" t="s">
        <v>74</v>
      </c>
      <c r="AZ90" t="s">
        <v>74</v>
      </c>
      <c r="BA90" t="s">
        <v>74</v>
      </c>
      <c r="BB90">
        <v>173</v>
      </c>
      <c r="BC90">
        <v>179</v>
      </c>
      <c r="BD90" t="s">
        <v>74</v>
      </c>
      <c r="BE90" t="s">
        <v>1645</v>
      </c>
      <c r="BF90" t="str">
        <f>HYPERLINK("http://dx.doi.org/10.1111/j.1550-7408.2004.tb00542.x","http://dx.doi.org/10.1111/j.1550-7408.2004.tb00542.x")</f>
        <v>http://dx.doi.org/10.1111/j.1550-7408.2004.tb00542.x</v>
      </c>
      <c r="BG90" t="s">
        <v>74</v>
      </c>
      <c r="BH90" t="s">
        <v>74</v>
      </c>
      <c r="BI90">
        <v>7</v>
      </c>
      <c r="BJ90" t="s">
        <v>743</v>
      </c>
      <c r="BK90" t="s">
        <v>96</v>
      </c>
      <c r="BL90" t="s">
        <v>743</v>
      </c>
      <c r="BM90" t="s">
        <v>1646</v>
      </c>
      <c r="BN90">
        <v>15134252</v>
      </c>
      <c r="BO90" t="s">
        <v>74</v>
      </c>
      <c r="BP90" t="s">
        <v>74</v>
      </c>
      <c r="BQ90" t="s">
        <v>74</v>
      </c>
      <c r="BR90" t="s">
        <v>99</v>
      </c>
      <c r="BS90" t="s">
        <v>1647</v>
      </c>
      <c r="BT90" t="str">
        <f>HYPERLINK("https%3A%2F%2Fwww.webofscience.com%2Fwos%2Fwoscc%2Ffull-record%2FWOS:000220884400006","View Full Record in Web of Science")</f>
        <v>View Full Record in Web of Science</v>
      </c>
    </row>
    <row r="91" spans="1:72" x14ac:dyDescent="0.15">
      <c r="A91" t="s">
        <v>72</v>
      </c>
      <c r="B91" t="s">
        <v>1648</v>
      </c>
      <c r="C91" t="s">
        <v>74</v>
      </c>
      <c r="D91" t="s">
        <v>74</v>
      </c>
      <c r="E91" t="s">
        <v>74</v>
      </c>
      <c r="F91" t="s">
        <v>1648</v>
      </c>
      <c r="G91" t="s">
        <v>74</v>
      </c>
      <c r="H91" t="s">
        <v>74</v>
      </c>
      <c r="I91" t="s">
        <v>1649</v>
      </c>
      <c r="J91" t="s">
        <v>1650</v>
      </c>
      <c r="K91" t="s">
        <v>74</v>
      </c>
      <c r="L91" t="s">
        <v>74</v>
      </c>
      <c r="M91" t="s">
        <v>77</v>
      </c>
      <c r="N91" t="s">
        <v>78</v>
      </c>
      <c r="O91" t="s">
        <v>74</v>
      </c>
      <c r="P91" t="s">
        <v>74</v>
      </c>
      <c r="Q91" t="s">
        <v>74</v>
      </c>
      <c r="R91" t="s">
        <v>74</v>
      </c>
      <c r="S91" t="s">
        <v>74</v>
      </c>
      <c r="T91" t="s">
        <v>1651</v>
      </c>
      <c r="U91" t="s">
        <v>1652</v>
      </c>
      <c r="V91" t="s">
        <v>1653</v>
      </c>
      <c r="W91" t="s">
        <v>1654</v>
      </c>
      <c r="X91" t="s">
        <v>1655</v>
      </c>
      <c r="Y91" t="s">
        <v>1656</v>
      </c>
      <c r="Z91" t="s">
        <v>1657</v>
      </c>
      <c r="AA91" t="s">
        <v>1658</v>
      </c>
      <c r="AB91" t="s">
        <v>1659</v>
      </c>
      <c r="AC91" t="s">
        <v>74</v>
      </c>
      <c r="AD91" t="s">
        <v>74</v>
      </c>
      <c r="AE91" t="s">
        <v>74</v>
      </c>
      <c r="AF91" t="s">
        <v>74</v>
      </c>
      <c r="AG91">
        <v>56</v>
      </c>
      <c r="AH91">
        <v>51</v>
      </c>
      <c r="AI91">
        <v>54</v>
      </c>
      <c r="AJ91">
        <v>0</v>
      </c>
      <c r="AK91">
        <v>22</v>
      </c>
      <c r="AL91" t="s">
        <v>1660</v>
      </c>
      <c r="AM91" t="s">
        <v>824</v>
      </c>
      <c r="AN91" t="s">
        <v>1661</v>
      </c>
      <c r="AO91" t="s">
        <v>1662</v>
      </c>
      <c r="AP91" t="s">
        <v>1663</v>
      </c>
      <c r="AQ91" t="s">
        <v>74</v>
      </c>
      <c r="AR91" t="s">
        <v>1664</v>
      </c>
      <c r="AS91" t="s">
        <v>1665</v>
      </c>
      <c r="AT91" t="s">
        <v>913</v>
      </c>
      <c r="AU91">
        <v>2004</v>
      </c>
      <c r="AV91">
        <v>207</v>
      </c>
      <c r="AW91">
        <v>8</v>
      </c>
      <c r="AX91" t="s">
        <v>74</v>
      </c>
      <c r="AY91" t="s">
        <v>74</v>
      </c>
      <c r="AZ91" t="s">
        <v>74</v>
      </c>
      <c r="BA91" t="s">
        <v>74</v>
      </c>
      <c r="BB91">
        <v>1287</v>
      </c>
      <c r="BC91">
        <v>1294</v>
      </c>
      <c r="BD91" t="s">
        <v>74</v>
      </c>
      <c r="BE91" t="s">
        <v>1666</v>
      </c>
      <c r="BF91" t="str">
        <f>HYPERLINK("http://dx.doi.org/10.1242/jeb.00880","http://dx.doi.org/10.1242/jeb.00880")</f>
        <v>http://dx.doi.org/10.1242/jeb.00880</v>
      </c>
      <c r="BG91" t="s">
        <v>74</v>
      </c>
      <c r="BH91" t="s">
        <v>74</v>
      </c>
      <c r="BI91">
        <v>8</v>
      </c>
      <c r="BJ91" t="s">
        <v>1667</v>
      </c>
      <c r="BK91" t="s">
        <v>96</v>
      </c>
      <c r="BL91" t="s">
        <v>1668</v>
      </c>
      <c r="BM91" t="s">
        <v>1669</v>
      </c>
      <c r="BN91">
        <v>15010479</v>
      </c>
      <c r="BO91" t="s">
        <v>74</v>
      </c>
      <c r="BP91" t="s">
        <v>74</v>
      </c>
      <c r="BQ91" t="s">
        <v>74</v>
      </c>
      <c r="BR91" t="s">
        <v>99</v>
      </c>
      <c r="BS91" t="s">
        <v>1670</v>
      </c>
      <c r="BT91" t="str">
        <f>HYPERLINK("https%3A%2F%2Fwww.webofscience.com%2Fwos%2Fwoscc%2Ffull-record%2FWOS:000221066600007","View Full Record in Web of Science")</f>
        <v>View Full Record in Web of Science</v>
      </c>
    </row>
    <row r="92" spans="1:72" x14ac:dyDescent="0.15">
      <c r="A92" t="s">
        <v>72</v>
      </c>
      <c r="B92" t="s">
        <v>1671</v>
      </c>
      <c r="C92" t="s">
        <v>74</v>
      </c>
      <c r="D92" t="s">
        <v>74</v>
      </c>
      <c r="E92" t="s">
        <v>74</v>
      </c>
      <c r="F92" t="s">
        <v>1671</v>
      </c>
      <c r="G92" t="s">
        <v>74</v>
      </c>
      <c r="H92" t="s">
        <v>74</v>
      </c>
      <c r="I92" t="s">
        <v>1672</v>
      </c>
      <c r="J92" t="s">
        <v>1673</v>
      </c>
      <c r="K92" t="s">
        <v>74</v>
      </c>
      <c r="L92" t="s">
        <v>74</v>
      </c>
      <c r="M92" t="s">
        <v>77</v>
      </c>
      <c r="N92" t="s">
        <v>78</v>
      </c>
      <c r="O92" t="s">
        <v>74</v>
      </c>
      <c r="P92" t="s">
        <v>74</v>
      </c>
      <c r="Q92" t="s">
        <v>74</v>
      </c>
      <c r="R92" t="s">
        <v>74</v>
      </c>
      <c r="S92" t="s">
        <v>74</v>
      </c>
      <c r="T92" t="s">
        <v>1674</v>
      </c>
      <c r="U92" t="s">
        <v>1675</v>
      </c>
      <c r="V92" t="s">
        <v>1676</v>
      </c>
      <c r="W92" t="s">
        <v>1677</v>
      </c>
      <c r="X92" t="s">
        <v>1678</v>
      </c>
      <c r="Y92" t="s">
        <v>1679</v>
      </c>
      <c r="Z92" t="s">
        <v>1680</v>
      </c>
      <c r="AA92" t="s">
        <v>1681</v>
      </c>
      <c r="AB92" t="s">
        <v>1682</v>
      </c>
      <c r="AC92" t="s">
        <v>74</v>
      </c>
      <c r="AD92" t="s">
        <v>74</v>
      </c>
      <c r="AE92" t="s">
        <v>74</v>
      </c>
      <c r="AF92" t="s">
        <v>74</v>
      </c>
      <c r="AG92">
        <v>44</v>
      </c>
      <c r="AH92">
        <v>89</v>
      </c>
      <c r="AI92">
        <v>109</v>
      </c>
      <c r="AJ92">
        <v>2</v>
      </c>
      <c r="AK92">
        <v>17</v>
      </c>
      <c r="AL92" t="s">
        <v>528</v>
      </c>
      <c r="AM92" t="s">
        <v>529</v>
      </c>
      <c r="AN92" t="s">
        <v>530</v>
      </c>
      <c r="AO92" t="s">
        <v>1683</v>
      </c>
      <c r="AP92" t="s">
        <v>74</v>
      </c>
      <c r="AQ92" t="s">
        <v>74</v>
      </c>
      <c r="AR92" t="s">
        <v>1684</v>
      </c>
      <c r="AS92" t="s">
        <v>1685</v>
      </c>
      <c r="AT92" t="s">
        <v>913</v>
      </c>
      <c r="AU92">
        <v>2004</v>
      </c>
      <c r="AV92">
        <v>45</v>
      </c>
      <c r="AW92" t="s">
        <v>536</v>
      </c>
      <c r="AX92" t="s">
        <v>74</v>
      </c>
      <c r="AY92" t="s">
        <v>74</v>
      </c>
      <c r="AZ92" t="s">
        <v>74</v>
      </c>
      <c r="BA92" t="s">
        <v>74</v>
      </c>
      <c r="BB92">
        <v>55</v>
      </c>
      <c r="BC92">
        <v>73</v>
      </c>
      <c r="BD92" t="s">
        <v>74</v>
      </c>
      <c r="BE92" t="s">
        <v>1686</v>
      </c>
      <c r="BF92" t="str">
        <f>HYPERLINK("http://dx.doi.org/10.1016/j.jmarsys.2003.09.004","http://dx.doi.org/10.1016/j.jmarsys.2003.09.004")</f>
        <v>http://dx.doi.org/10.1016/j.jmarsys.2003.09.004</v>
      </c>
      <c r="BG92" t="s">
        <v>74</v>
      </c>
      <c r="BH92" t="s">
        <v>74</v>
      </c>
      <c r="BI92">
        <v>19</v>
      </c>
      <c r="BJ92" t="s">
        <v>1687</v>
      </c>
      <c r="BK92" t="s">
        <v>96</v>
      </c>
      <c r="BL92" t="s">
        <v>1688</v>
      </c>
      <c r="BM92" t="s">
        <v>1689</v>
      </c>
      <c r="BN92" t="s">
        <v>74</v>
      </c>
      <c r="BO92" t="s">
        <v>74</v>
      </c>
      <c r="BP92" t="s">
        <v>74</v>
      </c>
      <c r="BQ92" t="s">
        <v>74</v>
      </c>
      <c r="BR92" t="s">
        <v>99</v>
      </c>
      <c r="BS92" t="s">
        <v>1690</v>
      </c>
      <c r="BT92" t="str">
        <f>HYPERLINK("https%3A%2F%2Fwww.webofscience.com%2Fwos%2Fwoscc%2Ffull-record%2FWOS:000220340000004","View Full Record in Web of Science")</f>
        <v>View Full Record in Web of Science</v>
      </c>
    </row>
    <row r="93" spans="1:72" x14ac:dyDescent="0.15">
      <c r="A93" t="s">
        <v>72</v>
      </c>
      <c r="B93" t="s">
        <v>1691</v>
      </c>
      <c r="C93" t="s">
        <v>74</v>
      </c>
      <c r="D93" t="s">
        <v>74</v>
      </c>
      <c r="E93" t="s">
        <v>74</v>
      </c>
      <c r="F93" t="s">
        <v>1691</v>
      </c>
      <c r="G93" t="s">
        <v>74</v>
      </c>
      <c r="H93" t="s">
        <v>74</v>
      </c>
      <c r="I93" t="s">
        <v>1692</v>
      </c>
      <c r="J93" t="s">
        <v>1693</v>
      </c>
      <c r="K93" t="s">
        <v>74</v>
      </c>
      <c r="L93" t="s">
        <v>74</v>
      </c>
      <c r="M93" t="s">
        <v>77</v>
      </c>
      <c r="N93" t="s">
        <v>78</v>
      </c>
      <c r="O93" t="s">
        <v>74</v>
      </c>
      <c r="P93" t="s">
        <v>74</v>
      </c>
      <c r="Q93" t="s">
        <v>74</v>
      </c>
      <c r="R93" t="s">
        <v>74</v>
      </c>
      <c r="S93" t="s">
        <v>74</v>
      </c>
      <c r="T93" t="s">
        <v>74</v>
      </c>
      <c r="U93" t="s">
        <v>1694</v>
      </c>
      <c r="V93" t="s">
        <v>1695</v>
      </c>
      <c r="W93" t="s">
        <v>1696</v>
      </c>
      <c r="X93" t="s">
        <v>1697</v>
      </c>
      <c r="Y93" t="s">
        <v>1698</v>
      </c>
      <c r="Z93" t="s">
        <v>1699</v>
      </c>
      <c r="AA93" t="s">
        <v>74</v>
      </c>
      <c r="AB93" t="s">
        <v>74</v>
      </c>
      <c r="AC93" t="s">
        <v>74</v>
      </c>
      <c r="AD93" t="s">
        <v>74</v>
      </c>
      <c r="AE93" t="s">
        <v>74</v>
      </c>
      <c r="AF93" t="s">
        <v>74</v>
      </c>
      <c r="AG93">
        <v>43</v>
      </c>
      <c r="AH93">
        <v>13</v>
      </c>
      <c r="AI93">
        <v>13</v>
      </c>
      <c r="AJ93">
        <v>0</v>
      </c>
      <c r="AK93">
        <v>2</v>
      </c>
      <c r="AL93" t="s">
        <v>297</v>
      </c>
      <c r="AM93" t="s">
        <v>298</v>
      </c>
      <c r="AN93" t="s">
        <v>299</v>
      </c>
      <c r="AO93" t="s">
        <v>1700</v>
      </c>
      <c r="AP93" t="s">
        <v>74</v>
      </c>
      <c r="AQ93" t="s">
        <v>74</v>
      </c>
      <c r="AR93" t="s">
        <v>1701</v>
      </c>
      <c r="AS93" t="s">
        <v>1702</v>
      </c>
      <c r="AT93" t="s">
        <v>913</v>
      </c>
      <c r="AU93">
        <v>2004</v>
      </c>
      <c r="AV93">
        <v>34</v>
      </c>
      <c r="AW93">
        <v>3</v>
      </c>
      <c r="AX93" t="s">
        <v>74</v>
      </c>
      <c r="AY93" t="s">
        <v>74</v>
      </c>
      <c r="AZ93" t="s">
        <v>74</v>
      </c>
      <c r="BA93" t="s">
        <v>74</v>
      </c>
      <c r="BB93">
        <v>656</v>
      </c>
      <c r="BC93">
        <v>667</v>
      </c>
      <c r="BD93" t="s">
        <v>74</v>
      </c>
      <c r="BE93" t="s">
        <v>1703</v>
      </c>
      <c r="BF93" t="str">
        <f>HYPERLINK("http://dx.doi.org/10.1175/2508.1","http://dx.doi.org/10.1175/2508.1")</f>
        <v>http://dx.doi.org/10.1175/2508.1</v>
      </c>
      <c r="BG93" t="s">
        <v>74</v>
      </c>
      <c r="BH93" t="s">
        <v>74</v>
      </c>
      <c r="BI93">
        <v>12</v>
      </c>
      <c r="BJ93" t="s">
        <v>477</v>
      </c>
      <c r="BK93" t="s">
        <v>96</v>
      </c>
      <c r="BL93" t="s">
        <v>477</v>
      </c>
      <c r="BM93" t="s">
        <v>1704</v>
      </c>
      <c r="BN93" t="s">
        <v>74</v>
      </c>
      <c r="BO93" t="s">
        <v>541</v>
      </c>
      <c r="BP93" t="s">
        <v>74</v>
      </c>
      <c r="BQ93" t="s">
        <v>74</v>
      </c>
      <c r="BR93" t="s">
        <v>99</v>
      </c>
      <c r="BS93" t="s">
        <v>1705</v>
      </c>
      <c r="BT93" t="str">
        <f>HYPERLINK("https%3A%2F%2Fwww.webofscience.com%2Fwos%2Fwoscc%2Ffull-record%2FWOS:000220479000008","View Full Record in Web of Science")</f>
        <v>View Full Record in Web of Science</v>
      </c>
    </row>
    <row r="94" spans="1:72" x14ac:dyDescent="0.15">
      <c r="A94" t="s">
        <v>72</v>
      </c>
      <c r="B94" t="s">
        <v>1706</v>
      </c>
      <c r="C94" t="s">
        <v>74</v>
      </c>
      <c r="D94" t="s">
        <v>74</v>
      </c>
      <c r="E94" t="s">
        <v>74</v>
      </c>
      <c r="F94" t="s">
        <v>1706</v>
      </c>
      <c r="G94" t="s">
        <v>74</v>
      </c>
      <c r="H94" t="s">
        <v>74</v>
      </c>
      <c r="I94" t="s">
        <v>1707</v>
      </c>
      <c r="J94" t="s">
        <v>1708</v>
      </c>
      <c r="K94" t="s">
        <v>74</v>
      </c>
      <c r="L94" t="s">
        <v>74</v>
      </c>
      <c r="M94" t="s">
        <v>77</v>
      </c>
      <c r="N94" t="s">
        <v>311</v>
      </c>
      <c r="O94" t="s">
        <v>1709</v>
      </c>
      <c r="P94" t="s">
        <v>1710</v>
      </c>
      <c r="Q94" t="s">
        <v>1711</v>
      </c>
      <c r="R94" t="s">
        <v>74</v>
      </c>
      <c r="S94" t="s">
        <v>74</v>
      </c>
      <c r="T94" t="s">
        <v>74</v>
      </c>
      <c r="U94" t="s">
        <v>1712</v>
      </c>
      <c r="V94" t="s">
        <v>1713</v>
      </c>
      <c r="W94" t="s">
        <v>1714</v>
      </c>
      <c r="X94" t="s">
        <v>1715</v>
      </c>
      <c r="Y94" t="s">
        <v>1716</v>
      </c>
      <c r="Z94" t="s">
        <v>1717</v>
      </c>
      <c r="AA94" t="s">
        <v>1718</v>
      </c>
      <c r="AB94" t="s">
        <v>1719</v>
      </c>
      <c r="AC94" t="s">
        <v>74</v>
      </c>
      <c r="AD94" t="s">
        <v>74</v>
      </c>
      <c r="AE94" t="s">
        <v>74</v>
      </c>
      <c r="AF94" t="s">
        <v>74</v>
      </c>
      <c r="AG94">
        <v>29</v>
      </c>
      <c r="AH94">
        <v>26</v>
      </c>
      <c r="AI94">
        <v>29</v>
      </c>
      <c r="AJ94">
        <v>0</v>
      </c>
      <c r="AK94">
        <v>5</v>
      </c>
      <c r="AL94" t="s">
        <v>1720</v>
      </c>
      <c r="AM94" t="s">
        <v>1721</v>
      </c>
      <c r="AN94" t="s">
        <v>1722</v>
      </c>
      <c r="AO94" t="s">
        <v>1723</v>
      </c>
      <c r="AP94" t="s">
        <v>1724</v>
      </c>
      <c r="AQ94" t="s">
        <v>74</v>
      </c>
      <c r="AR94" t="s">
        <v>1725</v>
      </c>
      <c r="AS94" t="s">
        <v>1726</v>
      </c>
      <c r="AT94" t="s">
        <v>913</v>
      </c>
      <c r="AU94">
        <v>2004</v>
      </c>
      <c r="AV94">
        <v>82</v>
      </c>
      <c r="AW94" t="s">
        <v>1727</v>
      </c>
      <c r="AX94" t="s">
        <v>74</v>
      </c>
      <c r="AY94" t="s">
        <v>74</v>
      </c>
      <c r="AZ94" t="s">
        <v>74</v>
      </c>
      <c r="BA94" t="s">
        <v>74</v>
      </c>
      <c r="BB94">
        <v>259</v>
      </c>
      <c r="BC94">
        <v>267</v>
      </c>
      <c r="BD94" t="s">
        <v>74</v>
      </c>
      <c r="BE94" t="s">
        <v>1728</v>
      </c>
      <c r="BF94" t="str">
        <f>HYPERLINK("http://dx.doi.org/10.2151/jmsj.2004.259","http://dx.doi.org/10.2151/jmsj.2004.259")</f>
        <v>http://dx.doi.org/10.2151/jmsj.2004.259</v>
      </c>
      <c r="BG94" t="s">
        <v>74</v>
      </c>
      <c r="BH94" t="s">
        <v>74</v>
      </c>
      <c r="BI94">
        <v>9</v>
      </c>
      <c r="BJ94" t="s">
        <v>186</v>
      </c>
      <c r="BK94" t="s">
        <v>332</v>
      </c>
      <c r="BL94" t="s">
        <v>186</v>
      </c>
      <c r="BM94" t="s">
        <v>1729</v>
      </c>
      <c r="BN94" t="s">
        <v>74</v>
      </c>
      <c r="BO94" t="s">
        <v>541</v>
      </c>
      <c r="BP94" t="s">
        <v>74</v>
      </c>
      <c r="BQ94" t="s">
        <v>74</v>
      </c>
      <c r="BR94" t="s">
        <v>99</v>
      </c>
      <c r="BS94" t="s">
        <v>1730</v>
      </c>
      <c r="BT94" t="str">
        <f>HYPERLINK("https%3A%2F%2Fwww.webofscience.com%2Fwos%2Fwoscc%2Ffull-record%2FWOS:000221414100002","View Full Record in Web of Science")</f>
        <v>View Full Record in Web of Science</v>
      </c>
    </row>
    <row r="95" spans="1:72" x14ac:dyDescent="0.15">
      <c r="A95" t="s">
        <v>72</v>
      </c>
      <c r="B95" t="s">
        <v>1731</v>
      </c>
      <c r="C95" t="s">
        <v>74</v>
      </c>
      <c r="D95" t="s">
        <v>74</v>
      </c>
      <c r="E95" t="s">
        <v>74</v>
      </c>
      <c r="F95" t="s">
        <v>1731</v>
      </c>
      <c r="G95" t="s">
        <v>74</v>
      </c>
      <c r="H95" t="s">
        <v>74</v>
      </c>
      <c r="I95" t="s">
        <v>1732</v>
      </c>
      <c r="J95" t="s">
        <v>1733</v>
      </c>
      <c r="K95" t="s">
        <v>74</v>
      </c>
      <c r="L95" t="s">
        <v>74</v>
      </c>
      <c r="M95" t="s">
        <v>77</v>
      </c>
      <c r="N95" t="s">
        <v>78</v>
      </c>
      <c r="O95" t="s">
        <v>74</v>
      </c>
      <c r="P95" t="s">
        <v>74</v>
      </c>
      <c r="Q95" t="s">
        <v>74</v>
      </c>
      <c r="R95" t="s">
        <v>74</v>
      </c>
      <c r="S95" t="s">
        <v>74</v>
      </c>
      <c r="T95" t="s">
        <v>74</v>
      </c>
      <c r="U95" t="s">
        <v>1734</v>
      </c>
      <c r="V95" t="s">
        <v>1735</v>
      </c>
      <c r="W95" t="s">
        <v>1736</v>
      </c>
      <c r="X95" t="s">
        <v>1737</v>
      </c>
      <c r="Y95" t="s">
        <v>1738</v>
      </c>
      <c r="Z95" t="s">
        <v>1739</v>
      </c>
      <c r="AA95" t="s">
        <v>1740</v>
      </c>
      <c r="AB95" t="s">
        <v>1741</v>
      </c>
      <c r="AC95" t="s">
        <v>74</v>
      </c>
      <c r="AD95" t="s">
        <v>74</v>
      </c>
      <c r="AE95" t="s">
        <v>74</v>
      </c>
      <c r="AF95" t="s">
        <v>74</v>
      </c>
      <c r="AG95">
        <v>76</v>
      </c>
      <c r="AH95">
        <v>36</v>
      </c>
      <c r="AI95">
        <v>39</v>
      </c>
      <c r="AJ95">
        <v>0</v>
      </c>
      <c r="AK95">
        <v>6</v>
      </c>
      <c r="AL95" t="s">
        <v>1742</v>
      </c>
      <c r="AM95" t="s">
        <v>1743</v>
      </c>
      <c r="AN95" t="s">
        <v>1744</v>
      </c>
      <c r="AO95" t="s">
        <v>1745</v>
      </c>
      <c r="AP95" t="s">
        <v>1746</v>
      </c>
      <c r="AQ95" t="s">
        <v>74</v>
      </c>
      <c r="AR95" t="s">
        <v>1747</v>
      </c>
      <c r="AS95" t="s">
        <v>1748</v>
      </c>
      <c r="AT95" t="s">
        <v>913</v>
      </c>
      <c r="AU95">
        <v>2004</v>
      </c>
      <c r="AV95">
        <v>24</v>
      </c>
      <c r="AW95">
        <v>1</v>
      </c>
      <c r="AX95" t="s">
        <v>74</v>
      </c>
      <c r="AY95" t="s">
        <v>74</v>
      </c>
      <c r="AZ95" t="s">
        <v>74</v>
      </c>
      <c r="BA95" t="s">
        <v>74</v>
      </c>
      <c r="BB95">
        <v>41</v>
      </c>
      <c r="BC95">
        <v>55</v>
      </c>
      <c r="BD95" t="s">
        <v>74</v>
      </c>
      <c r="BE95" t="s">
        <v>1749</v>
      </c>
      <c r="BF95" t="str">
        <f>HYPERLINK("http://dx.doi.org/10.1671/1952-4","http://dx.doi.org/10.1671/1952-4")</f>
        <v>http://dx.doi.org/10.1671/1952-4</v>
      </c>
      <c r="BG95" t="s">
        <v>74</v>
      </c>
      <c r="BH95" t="s">
        <v>74</v>
      </c>
      <c r="BI95">
        <v>15</v>
      </c>
      <c r="BJ95" t="s">
        <v>1750</v>
      </c>
      <c r="BK95" t="s">
        <v>96</v>
      </c>
      <c r="BL95" t="s">
        <v>1750</v>
      </c>
      <c r="BM95" t="s">
        <v>1751</v>
      </c>
      <c r="BN95" t="s">
        <v>74</v>
      </c>
      <c r="BO95" t="s">
        <v>1752</v>
      </c>
      <c r="BP95" t="s">
        <v>74</v>
      </c>
      <c r="BQ95" t="s">
        <v>74</v>
      </c>
      <c r="BR95" t="s">
        <v>99</v>
      </c>
      <c r="BS95" t="s">
        <v>1753</v>
      </c>
      <c r="BT95" t="str">
        <f>HYPERLINK("https%3A%2F%2Fwww.webofscience.com%2Fwos%2Fwoscc%2Ffull-record%2FWOS:000220639700004","View Full Record in Web of Science")</f>
        <v>View Full Record in Web of Science</v>
      </c>
    </row>
    <row r="96" spans="1:72" x14ac:dyDescent="0.15">
      <c r="A96" t="s">
        <v>72</v>
      </c>
      <c r="B96" t="s">
        <v>1754</v>
      </c>
      <c r="C96" t="s">
        <v>74</v>
      </c>
      <c r="D96" t="s">
        <v>74</v>
      </c>
      <c r="E96" t="s">
        <v>74</v>
      </c>
      <c r="F96" t="s">
        <v>1754</v>
      </c>
      <c r="G96" t="s">
        <v>74</v>
      </c>
      <c r="H96" t="s">
        <v>74</v>
      </c>
      <c r="I96" t="s">
        <v>1755</v>
      </c>
      <c r="J96" t="s">
        <v>1756</v>
      </c>
      <c r="K96" t="s">
        <v>74</v>
      </c>
      <c r="L96" t="s">
        <v>74</v>
      </c>
      <c r="M96" t="s">
        <v>77</v>
      </c>
      <c r="N96" t="s">
        <v>78</v>
      </c>
      <c r="O96" t="s">
        <v>74</v>
      </c>
      <c r="P96" t="s">
        <v>74</v>
      </c>
      <c r="Q96" t="s">
        <v>74</v>
      </c>
      <c r="R96" t="s">
        <v>74</v>
      </c>
      <c r="S96" t="s">
        <v>74</v>
      </c>
      <c r="T96" t="s">
        <v>74</v>
      </c>
      <c r="U96" t="s">
        <v>1757</v>
      </c>
      <c r="V96" t="s">
        <v>1758</v>
      </c>
      <c r="W96" t="s">
        <v>1759</v>
      </c>
      <c r="X96" t="s">
        <v>1760</v>
      </c>
      <c r="Y96" t="s">
        <v>1761</v>
      </c>
      <c r="Z96" t="s">
        <v>1762</v>
      </c>
      <c r="AA96" t="s">
        <v>1763</v>
      </c>
      <c r="AB96" t="s">
        <v>1764</v>
      </c>
      <c r="AC96" t="s">
        <v>74</v>
      </c>
      <c r="AD96" t="s">
        <v>74</v>
      </c>
      <c r="AE96" t="s">
        <v>74</v>
      </c>
      <c r="AF96" t="s">
        <v>74</v>
      </c>
      <c r="AG96">
        <v>40</v>
      </c>
      <c r="AH96">
        <v>60</v>
      </c>
      <c r="AI96">
        <v>64</v>
      </c>
      <c r="AJ96">
        <v>5</v>
      </c>
      <c r="AK96">
        <v>61</v>
      </c>
      <c r="AL96" t="s">
        <v>929</v>
      </c>
      <c r="AM96" t="s">
        <v>930</v>
      </c>
      <c r="AN96" t="s">
        <v>931</v>
      </c>
      <c r="AO96" t="s">
        <v>1765</v>
      </c>
      <c r="AP96" t="s">
        <v>1766</v>
      </c>
      <c r="AQ96" t="s">
        <v>74</v>
      </c>
      <c r="AR96" t="s">
        <v>1767</v>
      </c>
      <c r="AS96" t="s">
        <v>1768</v>
      </c>
      <c r="AT96" t="s">
        <v>913</v>
      </c>
      <c r="AU96">
        <v>2004</v>
      </c>
      <c r="AV96">
        <v>144</v>
      </c>
      <c r="AW96">
        <v>3</v>
      </c>
      <c r="AX96" t="s">
        <v>74</v>
      </c>
      <c r="AY96" t="s">
        <v>74</v>
      </c>
      <c r="AZ96" t="s">
        <v>74</v>
      </c>
      <c r="BA96" t="s">
        <v>74</v>
      </c>
      <c r="BB96">
        <v>407</v>
      </c>
      <c r="BC96">
        <v>415</v>
      </c>
      <c r="BD96" t="s">
        <v>74</v>
      </c>
      <c r="BE96" t="s">
        <v>1769</v>
      </c>
      <c r="BF96" t="str">
        <f>HYPERLINK("http://dx.doi.org/10.1007/s00227-003-1219-0","http://dx.doi.org/10.1007/s00227-003-1219-0")</f>
        <v>http://dx.doi.org/10.1007/s00227-003-1219-0</v>
      </c>
      <c r="BG96" t="s">
        <v>74</v>
      </c>
      <c r="BH96" t="s">
        <v>74</v>
      </c>
      <c r="BI96">
        <v>9</v>
      </c>
      <c r="BJ96" t="s">
        <v>1770</v>
      </c>
      <c r="BK96" t="s">
        <v>96</v>
      </c>
      <c r="BL96" t="s">
        <v>1770</v>
      </c>
      <c r="BM96" t="s">
        <v>1771</v>
      </c>
      <c r="BN96" t="s">
        <v>74</v>
      </c>
      <c r="BO96" t="s">
        <v>74</v>
      </c>
      <c r="BP96" t="s">
        <v>74</v>
      </c>
      <c r="BQ96" t="s">
        <v>74</v>
      </c>
      <c r="BR96" t="s">
        <v>99</v>
      </c>
      <c r="BS96" t="s">
        <v>1772</v>
      </c>
      <c r="BT96" t="str">
        <f>HYPERLINK("https%3A%2F%2Fwww.webofscience.com%2Fwos%2Fwoscc%2Ffull-record%2FWOS:000189364200001","View Full Record in Web of Science")</f>
        <v>View Full Record in Web of Science</v>
      </c>
    </row>
    <row r="97" spans="1:72" x14ac:dyDescent="0.15">
      <c r="A97" t="s">
        <v>72</v>
      </c>
      <c r="B97" t="s">
        <v>1773</v>
      </c>
      <c r="C97" t="s">
        <v>74</v>
      </c>
      <c r="D97" t="s">
        <v>74</v>
      </c>
      <c r="E97" t="s">
        <v>74</v>
      </c>
      <c r="F97" t="s">
        <v>1773</v>
      </c>
      <c r="G97" t="s">
        <v>74</v>
      </c>
      <c r="H97" t="s">
        <v>74</v>
      </c>
      <c r="I97" t="s">
        <v>1774</v>
      </c>
      <c r="J97" t="s">
        <v>1756</v>
      </c>
      <c r="K97" t="s">
        <v>74</v>
      </c>
      <c r="L97" t="s">
        <v>74</v>
      </c>
      <c r="M97" t="s">
        <v>77</v>
      </c>
      <c r="N97" t="s">
        <v>78</v>
      </c>
      <c r="O97" t="s">
        <v>74</v>
      </c>
      <c r="P97" t="s">
        <v>74</v>
      </c>
      <c r="Q97" t="s">
        <v>74</v>
      </c>
      <c r="R97" t="s">
        <v>74</v>
      </c>
      <c r="S97" t="s">
        <v>74</v>
      </c>
      <c r="T97" t="s">
        <v>74</v>
      </c>
      <c r="U97" t="s">
        <v>1775</v>
      </c>
      <c r="V97" t="s">
        <v>1776</v>
      </c>
      <c r="W97" t="s">
        <v>1777</v>
      </c>
      <c r="X97" t="s">
        <v>1778</v>
      </c>
      <c r="Y97" t="s">
        <v>1779</v>
      </c>
      <c r="Z97" t="s">
        <v>1780</v>
      </c>
      <c r="AA97" t="s">
        <v>74</v>
      </c>
      <c r="AB97" t="s">
        <v>1781</v>
      </c>
      <c r="AC97" t="s">
        <v>74</v>
      </c>
      <c r="AD97" t="s">
        <v>74</v>
      </c>
      <c r="AE97" t="s">
        <v>74</v>
      </c>
      <c r="AF97" t="s">
        <v>74</v>
      </c>
      <c r="AG97">
        <v>36</v>
      </c>
      <c r="AH97">
        <v>79</v>
      </c>
      <c r="AI97">
        <v>86</v>
      </c>
      <c r="AJ97">
        <v>0</v>
      </c>
      <c r="AK97">
        <v>17</v>
      </c>
      <c r="AL97" t="s">
        <v>929</v>
      </c>
      <c r="AM97" t="s">
        <v>930</v>
      </c>
      <c r="AN97" t="s">
        <v>931</v>
      </c>
      <c r="AO97" t="s">
        <v>1765</v>
      </c>
      <c r="AP97" t="s">
        <v>1766</v>
      </c>
      <c r="AQ97" t="s">
        <v>74</v>
      </c>
      <c r="AR97" t="s">
        <v>1767</v>
      </c>
      <c r="AS97" t="s">
        <v>1768</v>
      </c>
      <c r="AT97" t="s">
        <v>913</v>
      </c>
      <c r="AU97">
        <v>2004</v>
      </c>
      <c r="AV97">
        <v>144</v>
      </c>
      <c r="AW97">
        <v>3</v>
      </c>
      <c r="AX97" t="s">
        <v>74</v>
      </c>
      <c r="AY97" t="s">
        <v>74</v>
      </c>
      <c r="AZ97" t="s">
        <v>74</v>
      </c>
      <c r="BA97" t="s">
        <v>74</v>
      </c>
      <c r="BB97">
        <v>493</v>
      </c>
      <c r="BC97">
        <v>502</v>
      </c>
      <c r="BD97" t="s">
        <v>74</v>
      </c>
      <c r="BE97" t="s">
        <v>1782</v>
      </c>
      <c r="BF97" t="str">
        <f>HYPERLINK("http://dx.doi.org/10.1007/s00227-003-1228-z","http://dx.doi.org/10.1007/s00227-003-1228-z")</f>
        <v>http://dx.doi.org/10.1007/s00227-003-1228-z</v>
      </c>
      <c r="BG97" t="s">
        <v>74</v>
      </c>
      <c r="BH97" t="s">
        <v>74</v>
      </c>
      <c r="BI97">
        <v>10</v>
      </c>
      <c r="BJ97" t="s">
        <v>1770</v>
      </c>
      <c r="BK97" t="s">
        <v>96</v>
      </c>
      <c r="BL97" t="s">
        <v>1770</v>
      </c>
      <c r="BM97" t="s">
        <v>1771</v>
      </c>
      <c r="BN97" t="s">
        <v>74</v>
      </c>
      <c r="BO97" t="s">
        <v>74</v>
      </c>
      <c r="BP97" t="s">
        <v>74</v>
      </c>
      <c r="BQ97" t="s">
        <v>74</v>
      </c>
      <c r="BR97" t="s">
        <v>99</v>
      </c>
      <c r="BS97" t="s">
        <v>1783</v>
      </c>
      <c r="BT97" t="str">
        <f>HYPERLINK("https%3A%2F%2Fwww.webofscience.com%2Fwos%2Fwoscc%2Ffull-record%2FWOS:000189364200009","View Full Record in Web of Science")</f>
        <v>View Full Record in Web of Science</v>
      </c>
    </row>
    <row r="98" spans="1:72" x14ac:dyDescent="0.15">
      <c r="A98" t="s">
        <v>72</v>
      </c>
      <c r="B98" t="s">
        <v>1784</v>
      </c>
      <c r="C98" t="s">
        <v>74</v>
      </c>
      <c r="D98" t="s">
        <v>74</v>
      </c>
      <c r="E98" t="s">
        <v>74</v>
      </c>
      <c r="F98" t="s">
        <v>1784</v>
      </c>
      <c r="G98" t="s">
        <v>74</v>
      </c>
      <c r="H98" t="s">
        <v>74</v>
      </c>
      <c r="I98" t="s">
        <v>1785</v>
      </c>
      <c r="J98" t="s">
        <v>1786</v>
      </c>
      <c r="K98" t="s">
        <v>74</v>
      </c>
      <c r="L98" t="s">
        <v>74</v>
      </c>
      <c r="M98" t="s">
        <v>77</v>
      </c>
      <c r="N98" t="s">
        <v>78</v>
      </c>
      <c r="O98" t="s">
        <v>74</v>
      </c>
      <c r="P98" t="s">
        <v>74</v>
      </c>
      <c r="Q98" t="s">
        <v>74</v>
      </c>
      <c r="R98" t="s">
        <v>74</v>
      </c>
      <c r="S98" t="s">
        <v>74</v>
      </c>
      <c r="T98" t="s">
        <v>1787</v>
      </c>
      <c r="U98" t="s">
        <v>1788</v>
      </c>
      <c r="V98" t="s">
        <v>1789</v>
      </c>
      <c r="W98" t="s">
        <v>1790</v>
      </c>
      <c r="X98" t="s">
        <v>1791</v>
      </c>
      <c r="Y98" t="s">
        <v>1792</v>
      </c>
      <c r="Z98" t="s">
        <v>1793</v>
      </c>
      <c r="AA98" t="s">
        <v>1794</v>
      </c>
      <c r="AB98" t="s">
        <v>1795</v>
      </c>
      <c r="AC98" t="s">
        <v>74</v>
      </c>
      <c r="AD98" t="s">
        <v>74</v>
      </c>
      <c r="AE98" t="s">
        <v>74</v>
      </c>
      <c r="AF98" t="s">
        <v>74</v>
      </c>
      <c r="AG98">
        <v>73</v>
      </c>
      <c r="AH98">
        <v>19</v>
      </c>
      <c r="AI98">
        <v>21</v>
      </c>
      <c r="AJ98">
        <v>0</v>
      </c>
      <c r="AK98">
        <v>16</v>
      </c>
      <c r="AL98" t="s">
        <v>213</v>
      </c>
      <c r="AM98" t="s">
        <v>214</v>
      </c>
      <c r="AN98" t="s">
        <v>215</v>
      </c>
      <c r="AO98" t="s">
        <v>1796</v>
      </c>
      <c r="AP98" t="s">
        <v>1797</v>
      </c>
      <c r="AQ98" t="s">
        <v>74</v>
      </c>
      <c r="AR98" t="s">
        <v>1798</v>
      </c>
      <c r="AS98" t="s">
        <v>1799</v>
      </c>
      <c r="AT98" t="s">
        <v>913</v>
      </c>
      <c r="AU98">
        <v>2004</v>
      </c>
      <c r="AV98">
        <v>48</v>
      </c>
      <c r="AW98" t="s">
        <v>1800</v>
      </c>
      <c r="AX98" t="s">
        <v>74</v>
      </c>
      <c r="AY98" t="s">
        <v>74</v>
      </c>
      <c r="AZ98" t="s">
        <v>74</v>
      </c>
      <c r="BA98" t="s">
        <v>74</v>
      </c>
      <c r="BB98">
        <v>486</v>
      </c>
      <c r="BC98">
        <v>503</v>
      </c>
      <c r="BD98" t="s">
        <v>74</v>
      </c>
      <c r="BE98" t="s">
        <v>1801</v>
      </c>
      <c r="BF98" t="str">
        <f>HYPERLINK("http://dx.doi.org/10.1016/j.marpolbul.2003.08.026","http://dx.doi.org/10.1016/j.marpolbul.2003.08.026")</f>
        <v>http://dx.doi.org/10.1016/j.marpolbul.2003.08.026</v>
      </c>
      <c r="BG98" t="s">
        <v>74</v>
      </c>
      <c r="BH98" t="s">
        <v>74</v>
      </c>
      <c r="BI98">
        <v>18</v>
      </c>
      <c r="BJ98" t="s">
        <v>1802</v>
      </c>
      <c r="BK98" t="s">
        <v>96</v>
      </c>
      <c r="BL98" t="s">
        <v>1117</v>
      </c>
      <c r="BM98" t="s">
        <v>1803</v>
      </c>
      <c r="BN98">
        <v>14980465</v>
      </c>
      <c r="BO98" t="s">
        <v>74</v>
      </c>
      <c r="BP98" t="s">
        <v>74</v>
      </c>
      <c r="BQ98" t="s">
        <v>74</v>
      </c>
      <c r="BR98" t="s">
        <v>99</v>
      </c>
      <c r="BS98" t="s">
        <v>1804</v>
      </c>
      <c r="BT98" t="str">
        <f>HYPERLINK("https%3A%2F%2Fwww.webofscience.com%2Fwos%2Fwoscc%2Ffull-record%2FWOS:000220131500023","View Full Record in Web of Science")</f>
        <v>View Full Record in Web of Science</v>
      </c>
    </row>
    <row r="99" spans="1:72" x14ac:dyDescent="0.15">
      <c r="A99" t="s">
        <v>72</v>
      </c>
      <c r="B99" t="s">
        <v>1805</v>
      </c>
      <c r="C99" t="s">
        <v>74</v>
      </c>
      <c r="D99" t="s">
        <v>74</v>
      </c>
      <c r="E99" t="s">
        <v>74</v>
      </c>
      <c r="F99" t="s">
        <v>1805</v>
      </c>
      <c r="G99" t="s">
        <v>74</v>
      </c>
      <c r="H99" t="s">
        <v>74</v>
      </c>
      <c r="I99" t="s">
        <v>1806</v>
      </c>
      <c r="J99" t="s">
        <v>1786</v>
      </c>
      <c r="K99" t="s">
        <v>74</v>
      </c>
      <c r="L99" t="s">
        <v>74</v>
      </c>
      <c r="M99" t="s">
        <v>77</v>
      </c>
      <c r="N99" t="s">
        <v>442</v>
      </c>
      <c r="O99" t="s">
        <v>74</v>
      </c>
      <c r="P99" t="s">
        <v>74</v>
      </c>
      <c r="Q99" t="s">
        <v>74</v>
      </c>
      <c r="R99" t="s">
        <v>74</v>
      </c>
      <c r="S99" t="s">
        <v>74</v>
      </c>
      <c r="T99" t="s">
        <v>74</v>
      </c>
      <c r="U99" t="s">
        <v>74</v>
      </c>
      <c r="V99" t="s">
        <v>74</v>
      </c>
      <c r="W99" t="s">
        <v>1807</v>
      </c>
      <c r="X99" t="s">
        <v>1808</v>
      </c>
      <c r="Y99" t="s">
        <v>1809</v>
      </c>
      <c r="Z99" t="s">
        <v>1810</v>
      </c>
      <c r="AA99" t="s">
        <v>74</v>
      </c>
      <c r="AB99" t="s">
        <v>74</v>
      </c>
      <c r="AC99" t="s">
        <v>74</v>
      </c>
      <c r="AD99" t="s">
        <v>74</v>
      </c>
      <c r="AE99" t="s">
        <v>74</v>
      </c>
      <c r="AF99" t="s">
        <v>74</v>
      </c>
      <c r="AG99">
        <v>8</v>
      </c>
      <c r="AH99">
        <v>2</v>
      </c>
      <c r="AI99">
        <v>2</v>
      </c>
      <c r="AJ99">
        <v>0</v>
      </c>
      <c r="AK99">
        <v>6</v>
      </c>
      <c r="AL99" t="s">
        <v>213</v>
      </c>
      <c r="AM99" t="s">
        <v>214</v>
      </c>
      <c r="AN99" t="s">
        <v>215</v>
      </c>
      <c r="AO99" t="s">
        <v>1796</v>
      </c>
      <c r="AP99" t="s">
        <v>1797</v>
      </c>
      <c r="AQ99" t="s">
        <v>74</v>
      </c>
      <c r="AR99" t="s">
        <v>1798</v>
      </c>
      <c r="AS99" t="s">
        <v>1799</v>
      </c>
      <c r="AT99" t="s">
        <v>913</v>
      </c>
      <c r="AU99">
        <v>2004</v>
      </c>
      <c r="AV99">
        <v>48</v>
      </c>
      <c r="AW99" t="s">
        <v>1800</v>
      </c>
      <c r="AX99" t="s">
        <v>74</v>
      </c>
      <c r="AY99" t="s">
        <v>74</v>
      </c>
      <c r="AZ99" t="s">
        <v>74</v>
      </c>
      <c r="BA99" t="s">
        <v>74</v>
      </c>
      <c r="BB99">
        <v>606</v>
      </c>
      <c r="BC99">
        <v>607</v>
      </c>
      <c r="BD99" t="s">
        <v>74</v>
      </c>
      <c r="BE99" t="s">
        <v>1811</v>
      </c>
      <c r="BF99" t="str">
        <f>HYPERLINK("http://dx.doi.org/10.1016/j.marpolbul.2003.12.009","http://dx.doi.org/10.1016/j.marpolbul.2003.12.009")</f>
        <v>http://dx.doi.org/10.1016/j.marpolbul.2003.12.009</v>
      </c>
      <c r="BG99" t="s">
        <v>74</v>
      </c>
      <c r="BH99" t="s">
        <v>74</v>
      </c>
      <c r="BI99">
        <v>2</v>
      </c>
      <c r="BJ99" t="s">
        <v>1802</v>
      </c>
      <c r="BK99" t="s">
        <v>96</v>
      </c>
      <c r="BL99" t="s">
        <v>1117</v>
      </c>
      <c r="BM99" t="s">
        <v>1803</v>
      </c>
      <c r="BN99" t="s">
        <v>74</v>
      </c>
      <c r="BO99" t="s">
        <v>74</v>
      </c>
      <c r="BP99" t="s">
        <v>74</v>
      </c>
      <c r="BQ99" t="s">
        <v>74</v>
      </c>
      <c r="BR99" t="s">
        <v>99</v>
      </c>
      <c r="BS99" t="s">
        <v>1812</v>
      </c>
      <c r="BT99" t="str">
        <f>HYPERLINK("https%3A%2F%2Fwww.webofscience.com%2Fwos%2Fwoscc%2Ffull-record%2FWOS:000220131500036","View Full Record in Web of Science")</f>
        <v>View Full Record in Web of Science</v>
      </c>
    </row>
    <row r="100" spans="1:72" x14ac:dyDescent="0.15">
      <c r="A100" t="s">
        <v>72</v>
      </c>
      <c r="B100" t="s">
        <v>1813</v>
      </c>
      <c r="C100" t="s">
        <v>74</v>
      </c>
      <c r="D100" t="s">
        <v>74</v>
      </c>
      <c r="E100" t="s">
        <v>74</v>
      </c>
      <c r="F100" t="s">
        <v>1813</v>
      </c>
      <c r="G100" t="s">
        <v>74</v>
      </c>
      <c r="H100" t="s">
        <v>74</v>
      </c>
      <c r="I100" t="s">
        <v>1814</v>
      </c>
      <c r="J100" t="s">
        <v>1815</v>
      </c>
      <c r="K100" t="s">
        <v>74</v>
      </c>
      <c r="L100" t="s">
        <v>74</v>
      </c>
      <c r="M100" t="s">
        <v>77</v>
      </c>
      <c r="N100" t="s">
        <v>78</v>
      </c>
      <c r="O100" t="s">
        <v>74</v>
      </c>
      <c r="P100" t="s">
        <v>74</v>
      </c>
      <c r="Q100" t="s">
        <v>74</v>
      </c>
      <c r="R100" t="s">
        <v>74</v>
      </c>
      <c r="S100" t="s">
        <v>74</v>
      </c>
      <c r="T100" t="s">
        <v>74</v>
      </c>
      <c r="U100" t="s">
        <v>1816</v>
      </c>
      <c r="V100" t="s">
        <v>1817</v>
      </c>
      <c r="W100" t="s">
        <v>1818</v>
      </c>
      <c r="X100" t="s">
        <v>1819</v>
      </c>
      <c r="Y100" t="s">
        <v>1820</v>
      </c>
      <c r="Z100" t="s">
        <v>1821</v>
      </c>
      <c r="AA100" t="s">
        <v>74</v>
      </c>
      <c r="AB100" t="s">
        <v>1822</v>
      </c>
      <c r="AC100" t="s">
        <v>74</v>
      </c>
      <c r="AD100" t="s">
        <v>74</v>
      </c>
      <c r="AE100" t="s">
        <v>74</v>
      </c>
      <c r="AF100" t="s">
        <v>74</v>
      </c>
      <c r="AG100">
        <v>36</v>
      </c>
      <c r="AH100">
        <v>28</v>
      </c>
      <c r="AI100">
        <v>33</v>
      </c>
      <c r="AJ100">
        <v>1</v>
      </c>
      <c r="AK100">
        <v>9</v>
      </c>
      <c r="AL100" t="s">
        <v>177</v>
      </c>
      <c r="AM100" t="s">
        <v>1823</v>
      </c>
      <c r="AN100" t="s">
        <v>1824</v>
      </c>
      <c r="AO100" t="s">
        <v>1825</v>
      </c>
      <c r="AP100" t="s">
        <v>74</v>
      </c>
      <c r="AQ100" t="s">
        <v>74</v>
      </c>
      <c r="AR100" t="s">
        <v>1826</v>
      </c>
      <c r="AS100" t="s">
        <v>1827</v>
      </c>
      <c r="AT100" t="s">
        <v>913</v>
      </c>
      <c r="AU100">
        <v>2004</v>
      </c>
      <c r="AV100">
        <v>39</v>
      </c>
      <c r="AW100">
        <v>3</v>
      </c>
      <c r="AX100" t="s">
        <v>74</v>
      </c>
      <c r="AY100" t="s">
        <v>74</v>
      </c>
      <c r="AZ100" t="s">
        <v>74</v>
      </c>
      <c r="BA100" t="s">
        <v>74</v>
      </c>
      <c r="BB100">
        <v>401</v>
      </c>
      <c r="BC100">
        <v>406</v>
      </c>
      <c r="BD100" t="s">
        <v>74</v>
      </c>
      <c r="BE100" t="s">
        <v>1828</v>
      </c>
      <c r="BF100" t="str">
        <f>HYPERLINK("http://dx.doi.org/10.1111/j.1945-5100.2004.tb00101.x","http://dx.doi.org/10.1111/j.1945-5100.2004.tb00101.x")</f>
        <v>http://dx.doi.org/10.1111/j.1945-5100.2004.tb00101.x</v>
      </c>
      <c r="BG100" t="s">
        <v>74</v>
      </c>
      <c r="BH100" t="s">
        <v>74</v>
      </c>
      <c r="BI100">
        <v>6</v>
      </c>
      <c r="BJ100" t="s">
        <v>262</v>
      </c>
      <c r="BK100" t="s">
        <v>96</v>
      </c>
      <c r="BL100" t="s">
        <v>262</v>
      </c>
      <c r="BM100" t="s">
        <v>1829</v>
      </c>
      <c r="BN100" t="s">
        <v>74</v>
      </c>
      <c r="BO100" t="s">
        <v>541</v>
      </c>
      <c r="BP100" t="s">
        <v>74</v>
      </c>
      <c r="BQ100" t="s">
        <v>74</v>
      </c>
      <c r="BR100" t="s">
        <v>99</v>
      </c>
      <c r="BS100" t="s">
        <v>1830</v>
      </c>
      <c r="BT100" t="str">
        <f>HYPERLINK("https%3A%2F%2Fwww.webofscience.com%2Fwos%2Fwoscc%2Ffull-record%2FWOS:000220830600004","View Full Record in Web of Science")</f>
        <v>View Full Record in Web of Science</v>
      </c>
    </row>
    <row r="101" spans="1:72" x14ac:dyDescent="0.15">
      <c r="A101" t="s">
        <v>72</v>
      </c>
      <c r="B101" t="s">
        <v>1831</v>
      </c>
      <c r="C101" t="s">
        <v>74</v>
      </c>
      <c r="D101" t="s">
        <v>74</v>
      </c>
      <c r="E101" t="s">
        <v>74</v>
      </c>
      <c r="F101" t="s">
        <v>1831</v>
      </c>
      <c r="G101" t="s">
        <v>74</v>
      </c>
      <c r="H101" t="s">
        <v>74</v>
      </c>
      <c r="I101" t="s">
        <v>1832</v>
      </c>
      <c r="J101" t="s">
        <v>1815</v>
      </c>
      <c r="K101" t="s">
        <v>74</v>
      </c>
      <c r="L101" t="s">
        <v>74</v>
      </c>
      <c r="M101" t="s">
        <v>77</v>
      </c>
      <c r="N101" t="s">
        <v>78</v>
      </c>
      <c r="O101" t="s">
        <v>74</v>
      </c>
      <c r="P101" t="s">
        <v>74</v>
      </c>
      <c r="Q101" t="s">
        <v>74</v>
      </c>
      <c r="R101" t="s">
        <v>74</v>
      </c>
      <c r="S101" t="s">
        <v>74</v>
      </c>
      <c r="T101" t="s">
        <v>74</v>
      </c>
      <c r="U101" t="s">
        <v>1833</v>
      </c>
      <c r="V101" t="s">
        <v>1834</v>
      </c>
      <c r="W101" t="s">
        <v>1835</v>
      </c>
      <c r="X101" t="s">
        <v>1836</v>
      </c>
      <c r="Y101" t="s">
        <v>1837</v>
      </c>
      <c r="Z101" t="s">
        <v>1838</v>
      </c>
      <c r="AA101" t="s">
        <v>74</v>
      </c>
      <c r="AB101" t="s">
        <v>1839</v>
      </c>
      <c r="AC101" t="s">
        <v>74</v>
      </c>
      <c r="AD101" t="s">
        <v>74</v>
      </c>
      <c r="AE101" t="s">
        <v>74</v>
      </c>
      <c r="AF101" t="s">
        <v>74</v>
      </c>
      <c r="AG101">
        <v>68</v>
      </c>
      <c r="AH101">
        <v>27</v>
      </c>
      <c r="AI101">
        <v>31</v>
      </c>
      <c r="AJ101">
        <v>0</v>
      </c>
      <c r="AK101">
        <v>7</v>
      </c>
      <c r="AL101" t="s">
        <v>177</v>
      </c>
      <c r="AM101" t="s">
        <v>178</v>
      </c>
      <c r="AN101" t="s">
        <v>179</v>
      </c>
      <c r="AO101" t="s">
        <v>1825</v>
      </c>
      <c r="AP101" t="s">
        <v>1840</v>
      </c>
      <c r="AQ101" t="s">
        <v>74</v>
      </c>
      <c r="AR101" t="s">
        <v>1826</v>
      </c>
      <c r="AS101" t="s">
        <v>1827</v>
      </c>
      <c r="AT101" t="s">
        <v>913</v>
      </c>
      <c r="AU101">
        <v>2004</v>
      </c>
      <c r="AV101">
        <v>39</v>
      </c>
      <c r="AW101">
        <v>3</v>
      </c>
      <c r="AX101" t="s">
        <v>74</v>
      </c>
      <c r="AY101" t="s">
        <v>74</v>
      </c>
      <c r="AZ101" t="s">
        <v>74</v>
      </c>
      <c r="BA101" t="s">
        <v>74</v>
      </c>
      <c r="BB101">
        <v>481</v>
      </c>
      <c r="BC101">
        <v>498</v>
      </c>
      <c r="BD101" t="s">
        <v>74</v>
      </c>
      <c r="BE101" t="s">
        <v>1841</v>
      </c>
      <c r="BF101" t="str">
        <f>HYPERLINK("http://dx.doi.org/10.1111/j.1945-5100.2004.tb00106.x","http://dx.doi.org/10.1111/j.1945-5100.2004.tb00106.x")</f>
        <v>http://dx.doi.org/10.1111/j.1945-5100.2004.tb00106.x</v>
      </c>
      <c r="BG101" t="s">
        <v>74</v>
      </c>
      <c r="BH101" t="s">
        <v>74</v>
      </c>
      <c r="BI101">
        <v>18</v>
      </c>
      <c r="BJ101" t="s">
        <v>262</v>
      </c>
      <c r="BK101" t="s">
        <v>96</v>
      </c>
      <c r="BL101" t="s">
        <v>262</v>
      </c>
      <c r="BM101" t="s">
        <v>1829</v>
      </c>
      <c r="BN101" t="s">
        <v>74</v>
      </c>
      <c r="BO101" t="s">
        <v>541</v>
      </c>
      <c r="BP101" t="s">
        <v>74</v>
      </c>
      <c r="BQ101" t="s">
        <v>74</v>
      </c>
      <c r="BR101" t="s">
        <v>99</v>
      </c>
      <c r="BS101" t="s">
        <v>1842</v>
      </c>
      <c r="BT101" t="str">
        <f>HYPERLINK("https%3A%2F%2Fwww.webofscience.com%2Fwos%2Fwoscc%2Ffull-record%2FWOS:000220830600009","View Full Record in Web of Science")</f>
        <v>View Full Record in Web of Science</v>
      </c>
    </row>
    <row r="102" spans="1:72" x14ac:dyDescent="0.15">
      <c r="A102" t="s">
        <v>72</v>
      </c>
      <c r="B102" t="s">
        <v>1843</v>
      </c>
      <c r="C102" t="s">
        <v>74</v>
      </c>
      <c r="D102" t="s">
        <v>74</v>
      </c>
      <c r="E102" t="s">
        <v>74</v>
      </c>
      <c r="F102" t="s">
        <v>1843</v>
      </c>
      <c r="G102" t="s">
        <v>74</v>
      </c>
      <c r="H102" t="s">
        <v>74</v>
      </c>
      <c r="I102" t="s">
        <v>1844</v>
      </c>
      <c r="J102" t="s">
        <v>1845</v>
      </c>
      <c r="K102" t="s">
        <v>74</v>
      </c>
      <c r="L102" t="s">
        <v>74</v>
      </c>
      <c r="M102" t="s">
        <v>77</v>
      </c>
      <c r="N102" t="s">
        <v>78</v>
      </c>
      <c r="O102" t="s">
        <v>74</v>
      </c>
      <c r="P102" t="s">
        <v>74</v>
      </c>
      <c r="Q102" t="s">
        <v>74</v>
      </c>
      <c r="R102" t="s">
        <v>74</v>
      </c>
      <c r="S102" t="s">
        <v>74</v>
      </c>
      <c r="T102" t="s">
        <v>74</v>
      </c>
      <c r="U102" t="s">
        <v>1846</v>
      </c>
      <c r="V102" t="s">
        <v>1847</v>
      </c>
      <c r="W102" t="s">
        <v>1848</v>
      </c>
      <c r="X102" t="s">
        <v>1849</v>
      </c>
      <c r="Y102" t="s">
        <v>1850</v>
      </c>
      <c r="Z102" t="s">
        <v>1851</v>
      </c>
      <c r="AA102" t="s">
        <v>74</v>
      </c>
      <c r="AB102" t="s">
        <v>1852</v>
      </c>
      <c r="AC102" t="s">
        <v>1853</v>
      </c>
      <c r="AD102" t="s">
        <v>1854</v>
      </c>
      <c r="AE102" t="s">
        <v>74</v>
      </c>
      <c r="AF102" t="s">
        <v>74</v>
      </c>
      <c r="AG102">
        <v>84</v>
      </c>
      <c r="AH102">
        <v>16</v>
      </c>
      <c r="AI102">
        <v>19</v>
      </c>
      <c r="AJ102">
        <v>0</v>
      </c>
      <c r="AK102">
        <v>3</v>
      </c>
      <c r="AL102" t="s">
        <v>1855</v>
      </c>
      <c r="AM102" t="s">
        <v>490</v>
      </c>
      <c r="AN102" t="s">
        <v>1856</v>
      </c>
      <c r="AO102" t="s">
        <v>1857</v>
      </c>
      <c r="AP102" t="s">
        <v>1858</v>
      </c>
      <c r="AQ102" t="s">
        <v>74</v>
      </c>
      <c r="AR102" t="s">
        <v>1859</v>
      </c>
      <c r="AS102" t="s">
        <v>1860</v>
      </c>
      <c r="AT102" t="s">
        <v>913</v>
      </c>
      <c r="AU102">
        <v>2004</v>
      </c>
      <c r="AV102">
        <v>15</v>
      </c>
      <c r="AW102">
        <v>3</v>
      </c>
      <c r="AX102" t="s">
        <v>74</v>
      </c>
      <c r="AY102" t="s">
        <v>74</v>
      </c>
      <c r="AZ102" t="s">
        <v>74</v>
      </c>
      <c r="BA102" t="s">
        <v>74</v>
      </c>
      <c r="BB102">
        <v>1160</v>
      </c>
      <c r="BC102">
        <v>1171</v>
      </c>
      <c r="BD102" t="s">
        <v>74</v>
      </c>
      <c r="BE102" t="s">
        <v>1861</v>
      </c>
      <c r="BF102" t="str">
        <f>HYPERLINK("http://dx.doi.org/10.1091/mbc.E03-06-0389","http://dx.doi.org/10.1091/mbc.E03-06-0389")</f>
        <v>http://dx.doi.org/10.1091/mbc.E03-06-0389</v>
      </c>
      <c r="BG102" t="s">
        <v>74</v>
      </c>
      <c r="BH102" t="s">
        <v>74</v>
      </c>
      <c r="BI102">
        <v>12</v>
      </c>
      <c r="BJ102" t="s">
        <v>1862</v>
      </c>
      <c r="BK102" t="s">
        <v>96</v>
      </c>
      <c r="BL102" t="s">
        <v>1862</v>
      </c>
      <c r="BM102" t="s">
        <v>1863</v>
      </c>
      <c r="BN102">
        <v>14657251</v>
      </c>
      <c r="BO102" t="s">
        <v>479</v>
      </c>
      <c r="BP102" t="s">
        <v>74</v>
      </c>
      <c r="BQ102" t="s">
        <v>74</v>
      </c>
      <c r="BR102" t="s">
        <v>99</v>
      </c>
      <c r="BS102" t="s">
        <v>1864</v>
      </c>
      <c r="BT102" t="str">
        <f>HYPERLINK("https%3A%2F%2Fwww.webofscience.com%2Fwos%2Fwoscc%2Ffull-record%2FWOS:000220051900021","View Full Record in Web of Science")</f>
        <v>View Full Record in Web of Science</v>
      </c>
    </row>
    <row r="103" spans="1:72" x14ac:dyDescent="0.15">
      <c r="A103" t="s">
        <v>72</v>
      </c>
      <c r="B103" t="s">
        <v>1865</v>
      </c>
      <c r="C103" t="s">
        <v>74</v>
      </c>
      <c r="D103" t="s">
        <v>74</v>
      </c>
      <c r="E103" t="s">
        <v>74</v>
      </c>
      <c r="F103" t="s">
        <v>1865</v>
      </c>
      <c r="G103" t="s">
        <v>74</v>
      </c>
      <c r="H103" t="s">
        <v>74</v>
      </c>
      <c r="I103" t="s">
        <v>1866</v>
      </c>
      <c r="J103" t="s">
        <v>1867</v>
      </c>
      <c r="K103" t="s">
        <v>74</v>
      </c>
      <c r="L103" t="s">
        <v>74</v>
      </c>
      <c r="M103" t="s">
        <v>77</v>
      </c>
      <c r="N103" t="s">
        <v>78</v>
      </c>
      <c r="O103" t="s">
        <v>74</v>
      </c>
      <c r="P103" t="s">
        <v>74</v>
      </c>
      <c r="Q103" t="s">
        <v>74</v>
      </c>
      <c r="R103" t="s">
        <v>74</v>
      </c>
      <c r="S103" t="s">
        <v>74</v>
      </c>
      <c r="T103" t="s">
        <v>1868</v>
      </c>
      <c r="U103" t="s">
        <v>1869</v>
      </c>
      <c r="V103" t="s">
        <v>1870</v>
      </c>
      <c r="W103" t="s">
        <v>1871</v>
      </c>
      <c r="X103" t="s">
        <v>1872</v>
      </c>
      <c r="Y103" t="s">
        <v>1873</v>
      </c>
      <c r="Z103" t="s">
        <v>1874</v>
      </c>
      <c r="AA103" t="s">
        <v>1875</v>
      </c>
      <c r="AB103" t="s">
        <v>1876</v>
      </c>
      <c r="AC103" t="s">
        <v>74</v>
      </c>
      <c r="AD103" t="s">
        <v>74</v>
      </c>
      <c r="AE103" t="s">
        <v>74</v>
      </c>
      <c r="AF103" t="s">
        <v>74</v>
      </c>
      <c r="AG103">
        <v>95</v>
      </c>
      <c r="AH103">
        <v>98</v>
      </c>
      <c r="AI103">
        <v>110</v>
      </c>
      <c r="AJ103">
        <v>0</v>
      </c>
      <c r="AK103">
        <v>24</v>
      </c>
      <c r="AL103" t="s">
        <v>198</v>
      </c>
      <c r="AM103" t="s">
        <v>178</v>
      </c>
      <c r="AN103" t="s">
        <v>179</v>
      </c>
      <c r="AO103" t="s">
        <v>1877</v>
      </c>
      <c r="AP103" t="s">
        <v>1878</v>
      </c>
      <c r="AQ103" t="s">
        <v>74</v>
      </c>
      <c r="AR103" t="s">
        <v>1879</v>
      </c>
      <c r="AS103" t="s">
        <v>1880</v>
      </c>
      <c r="AT103" t="s">
        <v>913</v>
      </c>
      <c r="AU103">
        <v>2004</v>
      </c>
      <c r="AV103">
        <v>13</v>
      </c>
      <c r="AW103">
        <v>3</v>
      </c>
      <c r="AX103" t="s">
        <v>74</v>
      </c>
      <c r="AY103" t="s">
        <v>74</v>
      </c>
      <c r="AZ103" t="s">
        <v>74</v>
      </c>
      <c r="BA103" t="s">
        <v>74</v>
      </c>
      <c r="BB103">
        <v>537</v>
      </c>
      <c r="BC103">
        <v>549</v>
      </c>
      <c r="BD103" t="s">
        <v>74</v>
      </c>
      <c r="BE103" t="s">
        <v>1881</v>
      </c>
      <c r="BF103" t="str">
        <f>HYPERLINK("http://dx.doi.org/10.1046/j.1365-294X.2004.2079.x","http://dx.doi.org/10.1046/j.1365-294X.2004.2079.x")</f>
        <v>http://dx.doi.org/10.1046/j.1365-294X.2004.2079.x</v>
      </c>
      <c r="BG103" t="s">
        <v>74</v>
      </c>
      <c r="BH103" t="s">
        <v>74</v>
      </c>
      <c r="BI103">
        <v>13</v>
      </c>
      <c r="BJ103" t="s">
        <v>1882</v>
      </c>
      <c r="BK103" t="s">
        <v>96</v>
      </c>
      <c r="BL103" t="s">
        <v>1883</v>
      </c>
      <c r="BM103" t="s">
        <v>1884</v>
      </c>
      <c r="BN103">
        <v>14871359</v>
      </c>
      <c r="BO103" t="s">
        <v>74</v>
      </c>
      <c r="BP103" t="s">
        <v>74</v>
      </c>
      <c r="BQ103" t="s">
        <v>74</v>
      </c>
      <c r="BR103" t="s">
        <v>99</v>
      </c>
      <c r="BS103" t="s">
        <v>1885</v>
      </c>
      <c r="BT103" t="str">
        <f>HYPERLINK("https%3A%2F%2Fwww.webofscience.com%2Fwos%2Fwoscc%2Ffull-record%2FWOS:000188825700003","View Full Record in Web of Science")</f>
        <v>View Full Record in Web of Science</v>
      </c>
    </row>
    <row r="104" spans="1:72" x14ac:dyDescent="0.15">
      <c r="A104" t="s">
        <v>72</v>
      </c>
      <c r="B104" t="s">
        <v>1886</v>
      </c>
      <c r="C104" t="s">
        <v>74</v>
      </c>
      <c r="D104" t="s">
        <v>74</v>
      </c>
      <c r="E104" t="s">
        <v>74</v>
      </c>
      <c r="F104" t="s">
        <v>1886</v>
      </c>
      <c r="G104" t="s">
        <v>74</v>
      </c>
      <c r="H104" t="s">
        <v>74</v>
      </c>
      <c r="I104" t="s">
        <v>1887</v>
      </c>
      <c r="J104" t="s">
        <v>1888</v>
      </c>
      <c r="K104" t="s">
        <v>74</v>
      </c>
      <c r="L104" t="s">
        <v>74</v>
      </c>
      <c r="M104" t="s">
        <v>77</v>
      </c>
      <c r="N104" t="s">
        <v>78</v>
      </c>
      <c r="O104" t="s">
        <v>74</v>
      </c>
      <c r="P104" t="s">
        <v>74</v>
      </c>
      <c r="Q104" t="s">
        <v>74</v>
      </c>
      <c r="R104" t="s">
        <v>74</v>
      </c>
      <c r="S104" t="s">
        <v>74</v>
      </c>
      <c r="T104" t="s">
        <v>1889</v>
      </c>
      <c r="U104" t="s">
        <v>1890</v>
      </c>
      <c r="V104" t="s">
        <v>1891</v>
      </c>
      <c r="W104" t="s">
        <v>1892</v>
      </c>
      <c r="X104" t="s">
        <v>1893</v>
      </c>
      <c r="Y104" t="s">
        <v>1894</v>
      </c>
      <c r="Z104" t="s">
        <v>74</v>
      </c>
      <c r="AA104" t="s">
        <v>74</v>
      </c>
      <c r="AB104" t="s">
        <v>1895</v>
      </c>
      <c r="AC104" t="s">
        <v>74</v>
      </c>
      <c r="AD104" t="s">
        <v>74</v>
      </c>
      <c r="AE104" t="s">
        <v>74</v>
      </c>
      <c r="AF104" t="s">
        <v>74</v>
      </c>
      <c r="AG104">
        <v>26</v>
      </c>
      <c r="AH104">
        <v>10</v>
      </c>
      <c r="AI104">
        <v>11</v>
      </c>
      <c r="AJ104">
        <v>0</v>
      </c>
      <c r="AK104">
        <v>6</v>
      </c>
      <c r="AL104" t="s">
        <v>1896</v>
      </c>
      <c r="AM104" t="s">
        <v>1897</v>
      </c>
      <c r="AN104" t="s">
        <v>1898</v>
      </c>
      <c r="AO104" t="s">
        <v>1899</v>
      </c>
      <c r="AP104" t="s">
        <v>74</v>
      </c>
      <c r="AQ104" t="s">
        <v>74</v>
      </c>
      <c r="AR104" t="s">
        <v>1900</v>
      </c>
      <c r="AS104" t="s">
        <v>1901</v>
      </c>
      <c r="AT104" t="s">
        <v>913</v>
      </c>
      <c r="AU104">
        <v>2004</v>
      </c>
      <c r="AV104">
        <v>42</v>
      </c>
      <c r="AW104">
        <v>1</v>
      </c>
      <c r="AX104" t="s">
        <v>74</v>
      </c>
      <c r="AY104" t="s">
        <v>74</v>
      </c>
      <c r="AZ104" t="s">
        <v>74</v>
      </c>
      <c r="BA104" t="s">
        <v>74</v>
      </c>
      <c r="BB104">
        <v>121</v>
      </c>
      <c r="BC104">
        <v>138</v>
      </c>
      <c r="BD104" t="s">
        <v>74</v>
      </c>
      <c r="BE104" t="s">
        <v>1902</v>
      </c>
      <c r="BF104" t="str">
        <f>HYPERLINK("http://dx.doi.org/10.1080/0028825X.2004.9512894","http://dx.doi.org/10.1080/0028825X.2004.9512894")</f>
        <v>http://dx.doi.org/10.1080/0028825X.2004.9512894</v>
      </c>
      <c r="BG104" t="s">
        <v>74</v>
      </c>
      <c r="BH104" t="s">
        <v>74</v>
      </c>
      <c r="BI104">
        <v>18</v>
      </c>
      <c r="BJ104" t="s">
        <v>1903</v>
      </c>
      <c r="BK104" t="s">
        <v>96</v>
      </c>
      <c r="BL104" t="s">
        <v>1903</v>
      </c>
      <c r="BM104" t="s">
        <v>1904</v>
      </c>
      <c r="BN104" t="s">
        <v>74</v>
      </c>
      <c r="BO104" t="s">
        <v>74</v>
      </c>
      <c r="BP104" t="s">
        <v>74</v>
      </c>
      <c r="BQ104" t="s">
        <v>74</v>
      </c>
      <c r="BR104" t="s">
        <v>99</v>
      </c>
      <c r="BS104" t="s">
        <v>1905</v>
      </c>
      <c r="BT104" t="str">
        <f>HYPERLINK("https%3A%2F%2Fwww.webofscience.com%2Fwos%2Fwoscc%2Ffull-record%2FWOS:000221806900008","View Full Record in Web of Science")</f>
        <v>View Full Record in Web of Science</v>
      </c>
    </row>
    <row r="105" spans="1:72" x14ac:dyDescent="0.15">
      <c r="A105" t="s">
        <v>72</v>
      </c>
      <c r="B105" t="s">
        <v>1906</v>
      </c>
      <c r="C105" t="s">
        <v>74</v>
      </c>
      <c r="D105" t="s">
        <v>74</v>
      </c>
      <c r="E105" t="s">
        <v>74</v>
      </c>
      <c r="F105" t="s">
        <v>1906</v>
      </c>
      <c r="G105" t="s">
        <v>74</v>
      </c>
      <c r="H105" t="s">
        <v>74</v>
      </c>
      <c r="I105" t="s">
        <v>1907</v>
      </c>
      <c r="J105" t="s">
        <v>1908</v>
      </c>
      <c r="K105" t="s">
        <v>74</v>
      </c>
      <c r="L105" t="s">
        <v>74</v>
      </c>
      <c r="M105" t="s">
        <v>77</v>
      </c>
      <c r="N105" t="s">
        <v>78</v>
      </c>
      <c r="O105" t="s">
        <v>74</v>
      </c>
      <c r="P105" t="s">
        <v>74</v>
      </c>
      <c r="Q105" t="s">
        <v>74</v>
      </c>
      <c r="R105" t="s">
        <v>74</v>
      </c>
      <c r="S105" t="s">
        <v>74</v>
      </c>
      <c r="T105" t="s">
        <v>74</v>
      </c>
      <c r="U105" t="s">
        <v>1909</v>
      </c>
      <c r="V105" t="s">
        <v>1910</v>
      </c>
      <c r="W105" t="s">
        <v>1911</v>
      </c>
      <c r="X105" t="s">
        <v>1912</v>
      </c>
      <c r="Y105" t="s">
        <v>1913</v>
      </c>
      <c r="Z105" t="s">
        <v>74</v>
      </c>
      <c r="AA105" t="s">
        <v>1914</v>
      </c>
      <c r="AB105" t="s">
        <v>1915</v>
      </c>
      <c r="AC105" t="s">
        <v>74</v>
      </c>
      <c r="AD105" t="s">
        <v>74</v>
      </c>
      <c r="AE105" t="s">
        <v>74</v>
      </c>
      <c r="AF105" t="s">
        <v>74</v>
      </c>
      <c r="AG105">
        <v>22</v>
      </c>
      <c r="AH105">
        <v>4</v>
      </c>
      <c r="AI105">
        <v>4</v>
      </c>
      <c r="AJ105">
        <v>0</v>
      </c>
      <c r="AK105">
        <v>1</v>
      </c>
      <c r="AL105" t="s">
        <v>1916</v>
      </c>
      <c r="AM105" t="s">
        <v>1917</v>
      </c>
      <c r="AN105" t="s">
        <v>1918</v>
      </c>
      <c r="AO105" t="s">
        <v>1919</v>
      </c>
      <c r="AP105" t="s">
        <v>74</v>
      </c>
      <c r="AQ105" t="s">
        <v>74</v>
      </c>
      <c r="AR105" t="s">
        <v>1920</v>
      </c>
      <c r="AS105" t="s">
        <v>1921</v>
      </c>
      <c r="AT105" t="s">
        <v>1319</v>
      </c>
      <c r="AU105">
        <v>2004</v>
      </c>
      <c r="AV105">
        <v>44</v>
      </c>
      <c r="AW105">
        <v>2</v>
      </c>
      <c r="AX105" t="s">
        <v>74</v>
      </c>
      <c r="AY105" t="s">
        <v>74</v>
      </c>
      <c r="AZ105" t="s">
        <v>74</v>
      </c>
      <c r="BA105" t="s">
        <v>74</v>
      </c>
      <c r="BB105">
        <v>156</v>
      </c>
      <c r="BC105">
        <v>162</v>
      </c>
      <c r="BD105" t="s">
        <v>74</v>
      </c>
      <c r="BE105" t="s">
        <v>74</v>
      </c>
      <c r="BF105" t="s">
        <v>74</v>
      </c>
      <c r="BG105" t="s">
        <v>74</v>
      </c>
      <c r="BH105" t="s">
        <v>74</v>
      </c>
      <c r="BI105">
        <v>7</v>
      </c>
      <c r="BJ105" t="s">
        <v>477</v>
      </c>
      <c r="BK105" t="s">
        <v>96</v>
      </c>
      <c r="BL105" t="s">
        <v>477</v>
      </c>
      <c r="BM105" t="s">
        <v>1922</v>
      </c>
      <c r="BN105" t="s">
        <v>74</v>
      </c>
      <c r="BO105" t="s">
        <v>74</v>
      </c>
      <c r="BP105" t="s">
        <v>74</v>
      </c>
      <c r="BQ105" t="s">
        <v>74</v>
      </c>
      <c r="BR105" t="s">
        <v>99</v>
      </c>
      <c r="BS105" t="s">
        <v>1923</v>
      </c>
      <c r="BT105" t="str">
        <f>HYPERLINK("https%3A%2F%2Fwww.webofscience.com%2Fwos%2Fwoscc%2Ffull-record%2FWOS:000221094400002","View Full Record in Web of Science")</f>
        <v>View Full Record in Web of Science</v>
      </c>
    </row>
    <row r="106" spans="1:72" x14ac:dyDescent="0.15">
      <c r="A106" t="s">
        <v>72</v>
      </c>
      <c r="B106" t="s">
        <v>1924</v>
      </c>
      <c r="C106" t="s">
        <v>74</v>
      </c>
      <c r="D106" t="s">
        <v>74</v>
      </c>
      <c r="E106" t="s">
        <v>74</v>
      </c>
      <c r="F106" t="s">
        <v>1924</v>
      </c>
      <c r="G106" t="s">
        <v>74</v>
      </c>
      <c r="H106" t="s">
        <v>74</v>
      </c>
      <c r="I106" t="s">
        <v>1925</v>
      </c>
      <c r="J106" t="s">
        <v>1926</v>
      </c>
      <c r="K106" t="s">
        <v>74</v>
      </c>
      <c r="L106" t="s">
        <v>74</v>
      </c>
      <c r="M106" t="s">
        <v>77</v>
      </c>
      <c r="N106" t="s">
        <v>78</v>
      </c>
      <c r="O106" t="s">
        <v>74</v>
      </c>
      <c r="P106" t="s">
        <v>74</v>
      </c>
      <c r="Q106" t="s">
        <v>74</v>
      </c>
      <c r="R106" t="s">
        <v>74</v>
      </c>
      <c r="S106" t="s">
        <v>74</v>
      </c>
      <c r="T106" t="s">
        <v>1927</v>
      </c>
      <c r="U106" t="s">
        <v>1928</v>
      </c>
      <c r="V106" t="s">
        <v>1929</v>
      </c>
      <c r="W106" t="s">
        <v>1930</v>
      </c>
      <c r="X106" t="s">
        <v>1931</v>
      </c>
      <c r="Y106" t="s">
        <v>1932</v>
      </c>
      <c r="Z106" t="s">
        <v>1933</v>
      </c>
      <c r="AA106" t="s">
        <v>1934</v>
      </c>
      <c r="AB106" t="s">
        <v>1935</v>
      </c>
      <c r="AC106" t="s">
        <v>74</v>
      </c>
      <c r="AD106" t="s">
        <v>74</v>
      </c>
      <c r="AE106" t="s">
        <v>74</v>
      </c>
      <c r="AF106" t="s">
        <v>74</v>
      </c>
      <c r="AG106">
        <v>87</v>
      </c>
      <c r="AH106">
        <v>14</v>
      </c>
      <c r="AI106">
        <v>17</v>
      </c>
      <c r="AJ106">
        <v>0</v>
      </c>
      <c r="AK106">
        <v>4</v>
      </c>
      <c r="AL106" t="s">
        <v>198</v>
      </c>
      <c r="AM106" t="s">
        <v>178</v>
      </c>
      <c r="AN106" t="s">
        <v>179</v>
      </c>
      <c r="AO106" t="s">
        <v>1936</v>
      </c>
      <c r="AP106" t="s">
        <v>1937</v>
      </c>
      <c r="AQ106" t="s">
        <v>74</v>
      </c>
      <c r="AR106" t="s">
        <v>1926</v>
      </c>
      <c r="AS106" t="s">
        <v>1750</v>
      </c>
      <c r="AT106" t="s">
        <v>913</v>
      </c>
      <c r="AU106">
        <v>2004</v>
      </c>
      <c r="AV106">
        <v>47</v>
      </c>
      <c r="AW106" t="s">
        <v>74</v>
      </c>
      <c r="AX106">
        <v>2</v>
      </c>
      <c r="AY106" t="s">
        <v>74</v>
      </c>
      <c r="AZ106" t="s">
        <v>74</v>
      </c>
      <c r="BA106" t="s">
        <v>74</v>
      </c>
      <c r="BB106">
        <v>223</v>
      </c>
      <c r="BC106">
        <v>263</v>
      </c>
      <c r="BD106" t="s">
        <v>74</v>
      </c>
      <c r="BE106" t="s">
        <v>1938</v>
      </c>
      <c r="BF106" t="str">
        <f>HYPERLINK("http://dx.doi.org/10.1111/j.0031-0239.2004.00372.x","http://dx.doi.org/10.1111/j.0031-0239.2004.00372.x")</f>
        <v>http://dx.doi.org/10.1111/j.0031-0239.2004.00372.x</v>
      </c>
      <c r="BG106" t="s">
        <v>74</v>
      </c>
      <c r="BH106" t="s">
        <v>74</v>
      </c>
      <c r="BI106">
        <v>41</v>
      </c>
      <c r="BJ106" t="s">
        <v>1750</v>
      </c>
      <c r="BK106" t="s">
        <v>96</v>
      </c>
      <c r="BL106" t="s">
        <v>1750</v>
      </c>
      <c r="BM106" t="s">
        <v>1939</v>
      </c>
      <c r="BN106" t="s">
        <v>74</v>
      </c>
      <c r="BO106" t="s">
        <v>74</v>
      </c>
      <c r="BP106" t="s">
        <v>74</v>
      </c>
      <c r="BQ106" t="s">
        <v>74</v>
      </c>
      <c r="BR106" t="s">
        <v>99</v>
      </c>
      <c r="BS106" t="s">
        <v>1940</v>
      </c>
      <c r="BT106" t="str">
        <f>HYPERLINK("https%3A%2F%2Fwww.webofscience.com%2Fwos%2Fwoscc%2Ffull-record%2FWOS:000220256000003","View Full Record in Web of Science")</f>
        <v>View Full Record in Web of Science</v>
      </c>
    </row>
    <row r="107" spans="1:72" x14ac:dyDescent="0.15">
      <c r="A107" t="s">
        <v>72</v>
      </c>
      <c r="B107" t="s">
        <v>1941</v>
      </c>
      <c r="C107" t="s">
        <v>74</v>
      </c>
      <c r="D107" t="s">
        <v>74</v>
      </c>
      <c r="E107" t="s">
        <v>74</v>
      </c>
      <c r="F107" t="s">
        <v>1941</v>
      </c>
      <c r="G107" t="s">
        <v>74</v>
      </c>
      <c r="H107" t="s">
        <v>74</v>
      </c>
      <c r="I107" t="s">
        <v>1942</v>
      </c>
      <c r="J107" t="s">
        <v>1943</v>
      </c>
      <c r="K107" t="s">
        <v>74</v>
      </c>
      <c r="L107" t="s">
        <v>74</v>
      </c>
      <c r="M107" t="s">
        <v>77</v>
      </c>
      <c r="N107" t="s">
        <v>78</v>
      </c>
      <c r="O107" t="s">
        <v>74</v>
      </c>
      <c r="P107" t="s">
        <v>74</v>
      </c>
      <c r="Q107" t="s">
        <v>74</v>
      </c>
      <c r="R107" t="s">
        <v>74</v>
      </c>
      <c r="S107" t="s">
        <v>74</v>
      </c>
      <c r="T107" t="s">
        <v>74</v>
      </c>
      <c r="U107" t="s">
        <v>1944</v>
      </c>
      <c r="V107" t="s">
        <v>1945</v>
      </c>
      <c r="W107" t="s">
        <v>1946</v>
      </c>
      <c r="X107" t="s">
        <v>1947</v>
      </c>
      <c r="Y107" t="s">
        <v>1948</v>
      </c>
      <c r="Z107" t="s">
        <v>1949</v>
      </c>
      <c r="AA107" t="s">
        <v>1950</v>
      </c>
      <c r="AB107" t="s">
        <v>1951</v>
      </c>
      <c r="AC107" t="s">
        <v>74</v>
      </c>
      <c r="AD107" t="s">
        <v>74</v>
      </c>
      <c r="AE107" t="s">
        <v>74</v>
      </c>
      <c r="AF107" t="s">
        <v>74</v>
      </c>
      <c r="AG107">
        <v>25</v>
      </c>
      <c r="AH107">
        <v>11</v>
      </c>
      <c r="AI107">
        <v>11</v>
      </c>
      <c r="AJ107">
        <v>0</v>
      </c>
      <c r="AK107">
        <v>1</v>
      </c>
      <c r="AL107" t="s">
        <v>1952</v>
      </c>
      <c r="AM107" t="s">
        <v>347</v>
      </c>
      <c r="AN107" t="s">
        <v>1953</v>
      </c>
      <c r="AO107" t="s">
        <v>1954</v>
      </c>
      <c r="AP107" t="s">
        <v>1955</v>
      </c>
      <c r="AQ107" t="s">
        <v>74</v>
      </c>
      <c r="AR107" t="s">
        <v>1956</v>
      </c>
      <c r="AS107" t="s">
        <v>1957</v>
      </c>
      <c r="AT107" t="s">
        <v>1319</v>
      </c>
      <c r="AU107">
        <v>2004</v>
      </c>
      <c r="AV107">
        <v>12</v>
      </c>
      <c r="AW107">
        <v>2</v>
      </c>
      <c r="AX107" t="s">
        <v>74</v>
      </c>
      <c r="AY107" t="s">
        <v>74</v>
      </c>
      <c r="AZ107" t="s">
        <v>74</v>
      </c>
      <c r="BA107" t="s">
        <v>74</v>
      </c>
      <c r="BB107">
        <v>176</v>
      </c>
      <c r="BC107">
        <v>193</v>
      </c>
      <c r="BD107" t="s">
        <v>74</v>
      </c>
      <c r="BE107" t="s">
        <v>74</v>
      </c>
      <c r="BF107" t="s">
        <v>74</v>
      </c>
      <c r="BG107" t="s">
        <v>74</v>
      </c>
      <c r="BH107" t="s">
        <v>74</v>
      </c>
      <c r="BI107">
        <v>18</v>
      </c>
      <c r="BJ107" t="s">
        <v>1958</v>
      </c>
      <c r="BK107" t="s">
        <v>96</v>
      </c>
      <c r="BL107" t="s">
        <v>1958</v>
      </c>
      <c r="BM107" t="s">
        <v>1959</v>
      </c>
      <c r="BN107" t="s">
        <v>74</v>
      </c>
      <c r="BO107" t="s">
        <v>74</v>
      </c>
      <c r="BP107" t="s">
        <v>74</v>
      </c>
      <c r="BQ107" t="s">
        <v>74</v>
      </c>
      <c r="BR107" t="s">
        <v>99</v>
      </c>
      <c r="BS107" t="s">
        <v>1960</v>
      </c>
      <c r="BT107" t="str">
        <f>HYPERLINK("https%3A%2F%2Fwww.webofscience.com%2Fwos%2Fwoscc%2Ffull-record%2FWOS:000222395400005","View Full Record in Web of Science")</f>
        <v>View Full Record in Web of Science</v>
      </c>
    </row>
    <row r="108" spans="1:72" x14ac:dyDescent="0.15">
      <c r="A108" t="s">
        <v>72</v>
      </c>
      <c r="B108" t="s">
        <v>1961</v>
      </c>
      <c r="C108" t="s">
        <v>74</v>
      </c>
      <c r="D108" t="s">
        <v>74</v>
      </c>
      <c r="E108" t="s">
        <v>74</v>
      </c>
      <c r="F108" t="s">
        <v>1961</v>
      </c>
      <c r="G108" t="s">
        <v>74</v>
      </c>
      <c r="H108" t="s">
        <v>74</v>
      </c>
      <c r="I108" t="s">
        <v>1962</v>
      </c>
      <c r="J108" t="s">
        <v>76</v>
      </c>
      <c r="K108" t="s">
        <v>74</v>
      </c>
      <c r="L108" t="s">
        <v>74</v>
      </c>
      <c r="M108" t="s">
        <v>77</v>
      </c>
      <c r="N108" t="s">
        <v>268</v>
      </c>
      <c r="O108" t="s">
        <v>74</v>
      </c>
      <c r="P108" t="s">
        <v>74</v>
      </c>
      <c r="Q108" t="s">
        <v>74</v>
      </c>
      <c r="R108" t="s">
        <v>74</v>
      </c>
      <c r="S108" t="s">
        <v>74</v>
      </c>
      <c r="T108" t="s">
        <v>74</v>
      </c>
      <c r="U108" t="s">
        <v>1963</v>
      </c>
      <c r="V108" t="s">
        <v>1964</v>
      </c>
      <c r="W108" t="s">
        <v>1965</v>
      </c>
      <c r="X108" t="s">
        <v>1966</v>
      </c>
      <c r="Y108" t="s">
        <v>1967</v>
      </c>
      <c r="Z108" t="s">
        <v>1968</v>
      </c>
      <c r="AA108" t="s">
        <v>74</v>
      </c>
      <c r="AB108" t="s">
        <v>74</v>
      </c>
      <c r="AC108" t="s">
        <v>74</v>
      </c>
      <c r="AD108" t="s">
        <v>74</v>
      </c>
      <c r="AE108" t="s">
        <v>74</v>
      </c>
      <c r="AF108" t="s">
        <v>74</v>
      </c>
      <c r="AG108">
        <v>65</v>
      </c>
      <c r="AH108">
        <v>70</v>
      </c>
      <c r="AI108">
        <v>73</v>
      </c>
      <c r="AJ108">
        <v>1</v>
      </c>
      <c r="AK108">
        <v>9</v>
      </c>
      <c r="AL108" t="s">
        <v>86</v>
      </c>
      <c r="AM108" t="s">
        <v>87</v>
      </c>
      <c r="AN108" t="s">
        <v>88</v>
      </c>
      <c r="AO108" t="s">
        <v>89</v>
      </c>
      <c r="AP108" t="s">
        <v>74</v>
      </c>
      <c r="AQ108" t="s">
        <v>74</v>
      </c>
      <c r="AR108" t="s">
        <v>91</v>
      </c>
      <c r="AS108" t="s">
        <v>92</v>
      </c>
      <c r="AT108" t="s">
        <v>913</v>
      </c>
      <c r="AU108">
        <v>2004</v>
      </c>
      <c r="AV108">
        <v>27</v>
      </c>
      <c r="AW108">
        <v>4</v>
      </c>
      <c r="AX108" t="s">
        <v>74</v>
      </c>
      <c r="AY108" t="s">
        <v>74</v>
      </c>
      <c r="AZ108" t="s">
        <v>74</v>
      </c>
      <c r="BA108" t="s">
        <v>74</v>
      </c>
      <c r="BB108">
        <v>195</v>
      </c>
      <c r="BC108">
        <v>201</v>
      </c>
      <c r="BD108" t="s">
        <v>74</v>
      </c>
      <c r="BE108" t="s">
        <v>1969</v>
      </c>
      <c r="BF108" t="str">
        <f>HYPERLINK("http://dx.doi.org/10.1007/s00300-003-0583-z","http://dx.doi.org/10.1007/s00300-003-0583-z")</f>
        <v>http://dx.doi.org/10.1007/s00300-003-0583-z</v>
      </c>
      <c r="BG108" t="s">
        <v>74</v>
      </c>
      <c r="BH108" t="s">
        <v>74</v>
      </c>
      <c r="BI108">
        <v>7</v>
      </c>
      <c r="BJ108" t="s">
        <v>95</v>
      </c>
      <c r="BK108" t="s">
        <v>96</v>
      </c>
      <c r="BL108" t="s">
        <v>97</v>
      </c>
      <c r="BM108" t="s">
        <v>1970</v>
      </c>
      <c r="BN108" t="s">
        <v>74</v>
      </c>
      <c r="BO108" t="s">
        <v>1971</v>
      </c>
      <c r="BP108" t="s">
        <v>74</v>
      </c>
      <c r="BQ108" t="s">
        <v>74</v>
      </c>
      <c r="BR108" t="s">
        <v>99</v>
      </c>
      <c r="BS108" t="s">
        <v>1972</v>
      </c>
      <c r="BT108" t="str">
        <f>HYPERLINK("https%3A%2F%2Fwww.webofscience.com%2Fwos%2Fwoscc%2Ffull-record%2FWOS:000220423300002","View Full Record in Web of Science")</f>
        <v>View Full Record in Web of Science</v>
      </c>
    </row>
    <row r="109" spans="1:72" x14ac:dyDescent="0.15">
      <c r="A109" t="s">
        <v>72</v>
      </c>
      <c r="B109" t="s">
        <v>1973</v>
      </c>
      <c r="C109" t="s">
        <v>74</v>
      </c>
      <c r="D109" t="s">
        <v>74</v>
      </c>
      <c r="E109" t="s">
        <v>74</v>
      </c>
      <c r="F109" t="s">
        <v>1973</v>
      </c>
      <c r="G109" t="s">
        <v>74</v>
      </c>
      <c r="H109" t="s">
        <v>74</v>
      </c>
      <c r="I109" t="s">
        <v>1974</v>
      </c>
      <c r="J109" t="s">
        <v>76</v>
      </c>
      <c r="K109" t="s">
        <v>74</v>
      </c>
      <c r="L109" t="s">
        <v>74</v>
      </c>
      <c r="M109" t="s">
        <v>77</v>
      </c>
      <c r="N109" t="s">
        <v>78</v>
      </c>
      <c r="O109" t="s">
        <v>74</v>
      </c>
      <c r="P109" t="s">
        <v>74</v>
      </c>
      <c r="Q109" t="s">
        <v>74</v>
      </c>
      <c r="R109" t="s">
        <v>74</v>
      </c>
      <c r="S109" t="s">
        <v>74</v>
      </c>
      <c r="T109" t="s">
        <v>74</v>
      </c>
      <c r="U109" t="s">
        <v>1975</v>
      </c>
      <c r="V109" t="s">
        <v>1976</v>
      </c>
      <c r="W109" t="s">
        <v>1977</v>
      </c>
      <c r="X109" t="s">
        <v>1978</v>
      </c>
      <c r="Y109" t="s">
        <v>1979</v>
      </c>
      <c r="Z109" t="s">
        <v>1980</v>
      </c>
      <c r="AA109" t="s">
        <v>1981</v>
      </c>
      <c r="AB109" t="s">
        <v>1982</v>
      </c>
      <c r="AC109" t="s">
        <v>74</v>
      </c>
      <c r="AD109" t="s">
        <v>74</v>
      </c>
      <c r="AE109" t="s">
        <v>74</v>
      </c>
      <c r="AF109" t="s">
        <v>74</v>
      </c>
      <c r="AG109">
        <v>35</v>
      </c>
      <c r="AH109">
        <v>10</v>
      </c>
      <c r="AI109">
        <v>10</v>
      </c>
      <c r="AJ109">
        <v>0</v>
      </c>
      <c r="AK109">
        <v>5</v>
      </c>
      <c r="AL109" t="s">
        <v>123</v>
      </c>
      <c r="AM109" t="s">
        <v>87</v>
      </c>
      <c r="AN109" t="s">
        <v>124</v>
      </c>
      <c r="AO109" t="s">
        <v>89</v>
      </c>
      <c r="AP109" t="s">
        <v>74</v>
      </c>
      <c r="AQ109" t="s">
        <v>74</v>
      </c>
      <c r="AR109" t="s">
        <v>91</v>
      </c>
      <c r="AS109" t="s">
        <v>92</v>
      </c>
      <c r="AT109" t="s">
        <v>913</v>
      </c>
      <c r="AU109">
        <v>2004</v>
      </c>
      <c r="AV109">
        <v>27</v>
      </c>
      <c r="AW109">
        <v>4</v>
      </c>
      <c r="AX109" t="s">
        <v>74</v>
      </c>
      <c r="AY109" t="s">
        <v>74</v>
      </c>
      <c r="AZ109" t="s">
        <v>74</v>
      </c>
      <c r="BA109" t="s">
        <v>74</v>
      </c>
      <c r="BB109">
        <v>217</v>
      </c>
      <c r="BC109">
        <v>221</v>
      </c>
      <c r="BD109" t="s">
        <v>74</v>
      </c>
      <c r="BE109" t="s">
        <v>1983</v>
      </c>
      <c r="BF109" t="str">
        <f>HYPERLINK("http://dx.doi.org/10.1007/s00300-003-0579-8","http://dx.doi.org/10.1007/s00300-003-0579-8")</f>
        <v>http://dx.doi.org/10.1007/s00300-003-0579-8</v>
      </c>
      <c r="BG109" t="s">
        <v>74</v>
      </c>
      <c r="BH109" t="s">
        <v>74</v>
      </c>
      <c r="BI109">
        <v>5</v>
      </c>
      <c r="BJ109" t="s">
        <v>95</v>
      </c>
      <c r="BK109" t="s">
        <v>96</v>
      </c>
      <c r="BL109" t="s">
        <v>97</v>
      </c>
      <c r="BM109" t="s">
        <v>1970</v>
      </c>
      <c r="BN109" t="s">
        <v>74</v>
      </c>
      <c r="BO109" t="s">
        <v>74</v>
      </c>
      <c r="BP109" t="s">
        <v>74</v>
      </c>
      <c r="BQ109" t="s">
        <v>74</v>
      </c>
      <c r="BR109" t="s">
        <v>99</v>
      </c>
      <c r="BS109" t="s">
        <v>1984</v>
      </c>
      <c r="BT109" t="str">
        <f>HYPERLINK("https%3A%2F%2Fwww.webofscience.com%2Fwos%2Fwoscc%2Ffull-record%2FWOS:000220423300005","View Full Record in Web of Science")</f>
        <v>View Full Record in Web of Science</v>
      </c>
    </row>
    <row r="110" spans="1:72" x14ac:dyDescent="0.15">
      <c r="A110" t="s">
        <v>72</v>
      </c>
      <c r="B110" t="s">
        <v>1985</v>
      </c>
      <c r="C110" t="s">
        <v>74</v>
      </c>
      <c r="D110" t="s">
        <v>74</v>
      </c>
      <c r="E110" t="s">
        <v>74</v>
      </c>
      <c r="F110" t="s">
        <v>1985</v>
      </c>
      <c r="G110" t="s">
        <v>74</v>
      </c>
      <c r="H110" t="s">
        <v>74</v>
      </c>
      <c r="I110" t="s">
        <v>1986</v>
      </c>
      <c r="J110" t="s">
        <v>76</v>
      </c>
      <c r="K110" t="s">
        <v>74</v>
      </c>
      <c r="L110" t="s">
        <v>74</v>
      </c>
      <c r="M110" t="s">
        <v>77</v>
      </c>
      <c r="N110" t="s">
        <v>78</v>
      </c>
      <c r="O110" t="s">
        <v>74</v>
      </c>
      <c r="P110" t="s">
        <v>74</v>
      </c>
      <c r="Q110" t="s">
        <v>74</v>
      </c>
      <c r="R110" t="s">
        <v>74</v>
      </c>
      <c r="S110" t="s">
        <v>74</v>
      </c>
      <c r="T110" t="s">
        <v>74</v>
      </c>
      <c r="U110" t="s">
        <v>1987</v>
      </c>
      <c r="V110" t="s">
        <v>1988</v>
      </c>
      <c r="W110" t="s">
        <v>1989</v>
      </c>
      <c r="X110" t="s">
        <v>1990</v>
      </c>
      <c r="Y110" t="s">
        <v>1991</v>
      </c>
      <c r="Z110" t="s">
        <v>1992</v>
      </c>
      <c r="AA110" t="s">
        <v>1993</v>
      </c>
      <c r="AB110" t="s">
        <v>1994</v>
      </c>
      <c r="AC110" t="s">
        <v>74</v>
      </c>
      <c r="AD110" t="s">
        <v>74</v>
      </c>
      <c r="AE110" t="s">
        <v>74</v>
      </c>
      <c r="AF110" t="s">
        <v>74</v>
      </c>
      <c r="AG110">
        <v>74</v>
      </c>
      <c r="AH110">
        <v>25</v>
      </c>
      <c r="AI110">
        <v>27</v>
      </c>
      <c r="AJ110">
        <v>0</v>
      </c>
      <c r="AK110">
        <v>6</v>
      </c>
      <c r="AL110" t="s">
        <v>86</v>
      </c>
      <c r="AM110" t="s">
        <v>87</v>
      </c>
      <c r="AN110" t="s">
        <v>88</v>
      </c>
      <c r="AO110" t="s">
        <v>89</v>
      </c>
      <c r="AP110" t="s">
        <v>90</v>
      </c>
      <c r="AQ110" t="s">
        <v>74</v>
      </c>
      <c r="AR110" t="s">
        <v>91</v>
      </c>
      <c r="AS110" t="s">
        <v>92</v>
      </c>
      <c r="AT110" t="s">
        <v>913</v>
      </c>
      <c r="AU110">
        <v>2004</v>
      </c>
      <c r="AV110">
        <v>27</v>
      </c>
      <c r="AW110">
        <v>4</v>
      </c>
      <c r="AX110" t="s">
        <v>74</v>
      </c>
      <c r="AY110" t="s">
        <v>74</v>
      </c>
      <c r="AZ110" t="s">
        <v>74</v>
      </c>
      <c r="BA110" t="s">
        <v>74</v>
      </c>
      <c r="BB110">
        <v>222</v>
      </c>
      <c r="BC110">
        <v>230</v>
      </c>
      <c r="BD110" t="s">
        <v>74</v>
      </c>
      <c r="BE110" t="s">
        <v>1995</v>
      </c>
      <c r="BF110" t="str">
        <f>HYPERLINK("http://dx.doi.org/10.1007/s00300-003-0585-x","http://dx.doi.org/10.1007/s00300-003-0585-x")</f>
        <v>http://dx.doi.org/10.1007/s00300-003-0585-x</v>
      </c>
      <c r="BG110" t="s">
        <v>74</v>
      </c>
      <c r="BH110" t="s">
        <v>74</v>
      </c>
      <c r="BI110">
        <v>9</v>
      </c>
      <c r="BJ110" t="s">
        <v>95</v>
      </c>
      <c r="BK110" t="s">
        <v>96</v>
      </c>
      <c r="BL110" t="s">
        <v>97</v>
      </c>
      <c r="BM110" t="s">
        <v>1970</v>
      </c>
      <c r="BN110" t="s">
        <v>74</v>
      </c>
      <c r="BO110" t="s">
        <v>74</v>
      </c>
      <c r="BP110" t="s">
        <v>74</v>
      </c>
      <c r="BQ110" t="s">
        <v>74</v>
      </c>
      <c r="BR110" t="s">
        <v>99</v>
      </c>
      <c r="BS110" t="s">
        <v>1996</v>
      </c>
      <c r="BT110" t="str">
        <f>HYPERLINK("https%3A%2F%2Fwww.webofscience.com%2Fwos%2Fwoscc%2Ffull-record%2FWOS:000220423300006","View Full Record in Web of Science")</f>
        <v>View Full Record in Web of Science</v>
      </c>
    </row>
    <row r="111" spans="1:72" x14ac:dyDescent="0.15">
      <c r="A111" t="s">
        <v>72</v>
      </c>
      <c r="B111" t="s">
        <v>1997</v>
      </c>
      <c r="C111" t="s">
        <v>74</v>
      </c>
      <c r="D111" t="s">
        <v>74</v>
      </c>
      <c r="E111" t="s">
        <v>74</v>
      </c>
      <c r="F111" t="s">
        <v>1997</v>
      </c>
      <c r="G111" t="s">
        <v>74</v>
      </c>
      <c r="H111" t="s">
        <v>74</v>
      </c>
      <c r="I111" t="s">
        <v>1998</v>
      </c>
      <c r="J111" t="s">
        <v>76</v>
      </c>
      <c r="K111" t="s">
        <v>74</v>
      </c>
      <c r="L111" t="s">
        <v>74</v>
      </c>
      <c r="M111" t="s">
        <v>77</v>
      </c>
      <c r="N111" t="s">
        <v>78</v>
      </c>
      <c r="O111" t="s">
        <v>74</v>
      </c>
      <c r="P111" t="s">
        <v>74</v>
      </c>
      <c r="Q111" t="s">
        <v>74</v>
      </c>
      <c r="R111" t="s">
        <v>74</v>
      </c>
      <c r="S111" t="s">
        <v>74</v>
      </c>
      <c r="T111" t="s">
        <v>74</v>
      </c>
      <c r="U111" t="s">
        <v>1999</v>
      </c>
      <c r="V111" t="s">
        <v>2000</v>
      </c>
      <c r="W111" t="s">
        <v>2001</v>
      </c>
      <c r="X111" t="s">
        <v>2002</v>
      </c>
      <c r="Y111" t="s">
        <v>2003</v>
      </c>
      <c r="Z111" t="s">
        <v>2004</v>
      </c>
      <c r="AA111" t="s">
        <v>2005</v>
      </c>
      <c r="AB111" t="s">
        <v>2006</v>
      </c>
      <c r="AC111" t="s">
        <v>74</v>
      </c>
      <c r="AD111" t="s">
        <v>74</v>
      </c>
      <c r="AE111" t="s">
        <v>74</v>
      </c>
      <c r="AF111" t="s">
        <v>74</v>
      </c>
      <c r="AG111">
        <v>18</v>
      </c>
      <c r="AH111">
        <v>32</v>
      </c>
      <c r="AI111">
        <v>37</v>
      </c>
      <c r="AJ111">
        <v>1</v>
      </c>
      <c r="AK111">
        <v>10</v>
      </c>
      <c r="AL111" t="s">
        <v>86</v>
      </c>
      <c r="AM111" t="s">
        <v>87</v>
      </c>
      <c r="AN111" t="s">
        <v>2007</v>
      </c>
      <c r="AO111" t="s">
        <v>89</v>
      </c>
      <c r="AP111" t="s">
        <v>90</v>
      </c>
      <c r="AQ111" t="s">
        <v>74</v>
      </c>
      <c r="AR111" t="s">
        <v>91</v>
      </c>
      <c r="AS111" t="s">
        <v>92</v>
      </c>
      <c r="AT111" t="s">
        <v>913</v>
      </c>
      <c r="AU111">
        <v>2004</v>
      </c>
      <c r="AV111">
        <v>27</v>
      </c>
      <c r="AW111">
        <v>4</v>
      </c>
      <c r="AX111" t="s">
        <v>74</v>
      </c>
      <c r="AY111" t="s">
        <v>74</v>
      </c>
      <c r="AZ111" t="s">
        <v>74</v>
      </c>
      <c r="BA111" t="s">
        <v>74</v>
      </c>
      <c r="BB111">
        <v>231</v>
      </c>
      <c r="BC111">
        <v>237</v>
      </c>
      <c r="BD111" t="s">
        <v>74</v>
      </c>
      <c r="BE111" t="s">
        <v>2008</v>
      </c>
      <c r="BF111" t="str">
        <f>HYPERLINK("http://dx.doi.org/10.1007/s00300-003-0581-1","http://dx.doi.org/10.1007/s00300-003-0581-1")</f>
        <v>http://dx.doi.org/10.1007/s00300-003-0581-1</v>
      </c>
      <c r="BG111" t="s">
        <v>74</v>
      </c>
      <c r="BH111" t="s">
        <v>74</v>
      </c>
      <c r="BI111">
        <v>7</v>
      </c>
      <c r="BJ111" t="s">
        <v>95</v>
      </c>
      <c r="BK111" t="s">
        <v>96</v>
      </c>
      <c r="BL111" t="s">
        <v>97</v>
      </c>
      <c r="BM111" t="s">
        <v>1970</v>
      </c>
      <c r="BN111" t="s">
        <v>74</v>
      </c>
      <c r="BO111" t="s">
        <v>74</v>
      </c>
      <c r="BP111" t="s">
        <v>74</v>
      </c>
      <c r="BQ111" t="s">
        <v>74</v>
      </c>
      <c r="BR111" t="s">
        <v>99</v>
      </c>
      <c r="BS111" t="s">
        <v>2009</v>
      </c>
      <c r="BT111" t="str">
        <f>HYPERLINK("https%3A%2F%2Fwww.webofscience.com%2Fwos%2Fwoscc%2Ffull-record%2FWOS:000220423300007","View Full Record in Web of Science")</f>
        <v>View Full Record in Web of Science</v>
      </c>
    </row>
    <row r="112" spans="1:72" x14ac:dyDescent="0.15">
      <c r="A112" t="s">
        <v>72</v>
      </c>
      <c r="B112" t="s">
        <v>2010</v>
      </c>
      <c r="C112" t="s">
        <v>74</v>
      </c>
      <c r="D112" t="s">
        <v>74</v>
      </c>
      <c r="E112" t="s">
        <v>74</v>
      </c>
      <c r="F112" t="s">
        <v>2010</v>
      </c>
      <c r="G112" t="s">
        <v>74</v>
      </c>
      <c r="H112" t="s">
        <v>74</v>
      </c>
      <c r="I112" t="s">
        <v>2011</v>
      </c>
      <c r="J112" t="s">
        <v>76</v>
      </c>
      <c r="K112" t="s">
        <v>74</v>
      </c>
      <c r="L112" t="s">
        <v>74</v>
      </c>
      <c r="M112" t="s">
        <v>77</v>
      </c>
      <c r="N112" t="s">
        <v>78</v>
      </c>
      <c r="O112" t="s">
        <v>74</v>
      </c>
      <c r="P112" t="s">
        <v>74</v>
      </c>
      <c r="Q112" t="s">
        <v>74</v>
      </c>
      <c r="R112" t="s">
        <v>74</v>
      </c>
      <c r="S112" t="s">
        <v>74</v>
      </c>
      <c r="T112" t="s">
        <v>74</v>
      </c>
      <c r="U112" t="s">
        <v>2012</v>
      </c>
      <c r="V112" t="s">
        <v>2013</v>
      </c>
      <c r="W112" t="s">
        <v>2014</v>
      </c>
      <c r="X112" t="s">
        <v>2015</v>
      </c>
      <c r="Y112" t="s">
        <v>2016</v>
      </c>
      <c r="Z112" t="s">
        <v>2017</v>
      </c>
      <c r="AA112" t="s">
        <v>74</v>
      </c>
      <c r="AB112" t="s">
        <v>74</v>
      </c>
      <c r="AC112" t="s">
        <v>74</v>
      </c>
      <c r="AD112" t="s">
        <v>74</v>
      </c>
      <c r="AE112" t="s">
        <v>74</v>
      </c>
      <c r="AF112" t="s">
        <v>74</v>
      </c>
      <c r="AG112">
        <v>31</v>
      </c>
      <c r="AH112">
        <v>43</v>
      </c>
      <c r="AI112">
        <v>50</v>
      </c>
      <c r="AJ112">
        <v>0</v>
      </c>
      <c r="AK112">
        <v>18</v>
      </c>
      <c r="AL112" t="s">
        <v>86</v>
      </c>
      <c r="AM112" t="s">
        <v>87</v>
      </c>
      <c r="AN112" t="s">
        <v>2007</v>
      </c>
      <c r="AO112" t="s">
        <v>89</v>
      </c>
      <c r="AP112" t="s">
        <v>90</v>
      </c>
      <c r="AQ112" t="s">
        <v>74</v>
      </c>
      <c r="AR112" t="s">
        <v>91</v>
      </c>
      <c r="AS112" t="s">
        <v>92</v>
      </c>
      <c r="AT112" t="s">
        <v>913</v>
      </c>
      <c r="AU112">
        <v>2004</v>
      </c>
      <c r="AV112">
        <v>27</v>
      </c>
      <c r="AW112">
        <v>4</v>
      </c>
      <c r="AX112" t="s">
        <v>74</v>
      </c>
      <c r="AY112" t="s">
        <v>74</v>
      </c>
      <c r="AZ112" t="s">
        <v>74</v>
      </c>
      <c r="BA112" t="s">
        <v>74</v>
      </c>
      <c r="BB112">
        <v>238</v>
      </c>
      <c r="BC112">
        <v>249</v>
      </c>
      <c r="BD112" t="s">
        <v>74</v>
      </c>
      <c r="BE112" t="s">
        <v>2018</v>
      </c>
      <c r="BF112" t="str">
        <f>HYPERLINK("http://dx.doi.org/10.1007/s00300-003-0582-0","http://dx.doi.org/10.1007/s00300-003-0582-0")</f>
        <v>http://dx.doi.org/10.1007/s00300-003-0582-0</v>
      </c>
      <c r="BG112" t="s">
        <v>74</v>
      </c>
      <c r="BH112" t="s">
        <v>74</v>
      </c>
      <c r="BI112">
        <v>12</v>
      </c>
      <c r="BJ112" t="s">
        <v>95</v>
      </c>
      <c r="BK112" t="s">
        <v>96</v>
      </c>
      <c r="BL112" t="s">
        <v>97</v>
      </c>
      <c r="BM112" t="s">
        <v>1970</v>
      </c>
      <c r="BN112" t="s">
        <v>74</v>
      </c>
      <c r="BO112" t="s">
        <v>74</v>
      </c>
      <c r="BP112" t="s">
        <v>74</v>
      </c>
      <c r="BQ112" t="s">
        <v>74</v>
      </c>
      <c r="BR112" t="s">
        <v>99</v>
      </c>
      <c r="BS112" t="s">
        <v>2019</v>
      </c>
      <c r="BT112" t="str">
        <f>HYPERLINK("https%3A%2F%2Fwww.webofscience.com%2Fwos%2Fwoscc%2Ffull-record%2FWOS:000220423300008","View Full Record in Web of Science")</f>
        <v>View Full Record in Web of Science</v>
      </c>
    </row>
    <row r="113" spans="1:72" x14ac:dyDescent="0.15">
      <c r="A113" t="s">
        <v>72</v>
      </c>
      <c r="B113" t="s">
        <v>2020</v>
      </c>
      <c r="C113" t="s">
        <v>74</v>
      </c>
      <c r="D113" t="s">
        <v>74</v>
      </c>
      <c r="E113" t="s">
        <v>74</v>
      </c>
      <c r="F113" t="s">
        <v>2020</v>
      </c>
      <c r="G113" t="s">
        <v>74</v>
      </c>
      <c r="H113" t="s">
        <v>74</v>
      </c>
      <c r="I113" t="s">
        <v>2021</v>
      </c>
      <c r="J113" t="s">
        <v>2022</v>
      </c>
      <c r="K113" t="s">
        <v>74</v>
      </c>
      <c r="L113" t="s">
        <v>74</v>
      </c>
      <c r="M113" t="s">
        <v>77</v>
      </c>
      <c r="N113" t="s">
        <v>78</v>
      </c>
      <c r="O113" t="s">
        <v>74</v>
      </c>
      <c r="P113" t="s">
        <v>74</v>
      </c>
      <c r="Q113" t="s">
        <v>74</v>
      </c>
      <c r="R113" t="s">
        <v>74</v>
      </c>
      <c r="S113" t="s">
        <v>74</v>
      </c>
      <c r="T113" t="s">
        <v>2023</v>
      </c>
      <c r="U113" t="s">
        <v>2024</v>
      </c>
      <c r="V113" t="s">
        <v>2025</v>
      </c>
      <c r="W113" t="s">
        <v>2026</v>
      </c>
      <c r="X113" t="s">
        <v>2027</v>
      </c>
      <c r="Y113" t="s">
        <v>2028</v>
      </c>
      <c r="Z113" t="s">
        <v>74</v>
      </c>
      <c r="AA113" t="s">
        <v>74</v>
      </c>
      <c r="AB113" t="s">
        <v>74</v>
      </c>
      <c r="AC113" t="s">
        <v>74</v>
      </c>
      <c r="AD113" t="s">
        <v>74</v>
      </c>
      <c r="AE113" t="s">
        <v>74</v>
      </c>
      <c r="AF113" t="s">
        <v>74</v>
      </c>
      <c r="AG113">
        <v>46</v>
      </c>
      <c r="AH113">
        <v>9</v>
      </c>
      <c r="AI113">
        <v>10</v>
      </c>
      <c r="AJ113">
        <v>0</v>
      </c>
      <c r="AK113">
        <v>3</v>
      </c>
      <c r="AL113" t="s">
        <v>2029</v>
      </c>
      <c r="AM113" t="s">
        <v>448</v>
      </c>
      <c r="AN113" t="s">
        <v>2030</v>
      </c>
      <c r="AO113" t="s">
        <v>2031</v>
      </c>
      <c r="AP113" t="s">
        <v>74</v>
      </c>
      <c r="AQ113" t="s">
        <v>74</v>
      </c>
      <c r="AR113" t="s">
        <v>2032</v>
      </c>
      <c r="AS113" t="s">
        <v>2033</v>
      </c>
      <c r="AT113" t="s">
        <v>913</v>
      </c>
      <c r="AU113">
        <v>2004</v>
      </c>
      <c r="AV113">
        <v>113</v>
      </c>
      <c r="AW113">
        <v>1</v>
      </c>
      <c r="AX113" t="s">
        <v>74</v>
      </c>
      <c r="AY113" t="s">
        <v>74</v>
      </c>
      <c r="AZ113" t="s">
        <v>74</v>
      </c>
      <c r="BA113" t="s">
        <v>74</v>
      </c>
      <c r="BB113">
        <v>1</v>
      </c>
      <c r="BC113">
        <v>25</v>
      </c>
      <c r="BD113" t="s">
        <v>74</v>
      </c>
      <c r="BE113" t="s">
        <v>74</v>
      </c>
      <c r="BF113" t="s">
        <v>74</v>
      </c>
      <c r="BG113" t="s">
        <v>74</v>
      </c>
      <c r="BH113" t="s">
        <v>74</v>
      </c>
      <c r="BI113">
        <v>25</v>
      </c>
      <c r="BJ113" t="s">
        <v>560</v>
      </c>
      <c r="BK113" t="s">
        <v>96</v>
      </c>
      <c r="BL113" t="s">
        <v>561</v>
      </c>
      <c r="BM113" t="s">
        <v>2034</v>
      </c>
      <c r="BN113" t="s">
        <v>74</v>
      </c>
      <c r="BO113" t="s">
        <v>541</v>
      </c>
      <c r="BP113" t="s">
        <v>74</v>
      </c>
      <c r="BQ113" t="s">
        <v>74</v>
      </c>
      <c r="BR113" t="s">
        <v>99</v>
      </c>
      <c r="BS113" t="s">
        <v>2035</v>
      </c>
      <c r="BT113" t="str">
        <f>HYPERLINK("https%3A%2F%2Fwww.webofscience.com%2Fwos%2Fwoscc%2Ffull-record%2FWOS:000220192600001","View Full Record in Web of Science")</f>
        <v>View Full Record in Web of Science</v>
      </c>
    </row>
    <row r="114" spans="1:72" x14ac:dyDescent="0.15">
      <c r="A114" t="s">
        <v>72</v>
      </c>
      <c r="B114" t="s">
        <v>2036</v>
      </c>
      <c r="C114" t="s">
        <v>74</v>
      </c>
      <c r="D114" t="s">
        <v>74</v>
      </c>
      <c r="E114" t="s">
        <v>74</v>
      </c>
      <c r="F114" t="s">
        <v>2036</v>
      </c>
      <c r="G114" t="s">
        <v>74</v>
      </c>
      <c r="H114" t="s">
        <v>74</v>
      </c>
      <c r="I114" t="s">
        <v>2037</v>
      </c>
      <c r="J114" t="s">
        <v>2038</v>
      </c>
      <c r="K114" t="s">
        <v>74</v>
      </c>
      <c r="L114" t="s">
        <v>74</v>
      </c>
      <c r="M114" t="s">
        <v>77</v>
      </c>
      <c r="N114" t="s">
        <v>78</v>
      </c>
      <c r="O114" t="s">
        <v>74</v>
      </c>
      <c r="P114" t="s">
        <v>74</v>
      </c>
      <c r="Q114" t="s">
        <v>74</v>
      </c>
      <c r="R114" t="s">
        <v>74</v>
      </c>
      <c r="S114" t="s">
        <v>74</v>
      </c>
      <c r="T114" t="s">
        <v>2039</v>
      </c>
      <c r="U114" t="s">
        <v>2040</v>
      </c>
      <c r="V114" t="s">
        <v>2041</v>
      </c>
      <c r="W114" t="s">
        <v>2042</v>
      </c>
      <c r="X114" t="s">
        <v>2043</v>
      </c>
      <c r="Y114" t="s">
        <v>2044</v>
      </c>
      <c r="Z114" t="s">
        <v>2045</v>
      </c>
      <c r="AA114" t="s">
        <v>74</v>
      </c>
      <c r="AB114" t="s">
        <v>74</v>
      </c>
      <c r="AC114" t="s">
        <v>74</v>
      </c>
      <c r="AD114" t="s">
        <v>74</v>
      </c>
      <c r="AE114" t="s">
        <v>74</v>
      </c>
      <c r="AF114" t="s">
        <v>74</v>
      </c>
      <c r="AG114">
        <v>42</v>
      </c>
      <c r="AH114">
        <v>7</v>
      </c>
      <c r="AI114">
        <v>10</v>
      </c>
      <c r="AJ114">
        <v>2</v>
      </c>
      <c r="AK114">
        <v>2</v>
      </c>
      <c r="AL114" t="s">
        <v>235</v>
      </c>
      <c r="AM114" t="s">
        <v>87</v>
      </c>
      <c r="AN114" t="s">
        <v>1203</v>
      </c>
      <c r="AO114" t="s">
        <v>2046</v>
      </c>
      <c r="AP114" t="s">
        <v>2047</v>
      </c>
      <c r="AQ114" t="s">
        <v>74</v>
      </c>
      <c r="AR114" t="s">
        <v>2048</v>
      </c>
      <c r="AS114" t="s">
        <v>2049</v>
      </c>
      <c r="AT114" t="s">
        <v>913</v>
      </c>
      <c r="AU114">
        <v>2004</v>
      </c>
      <c r="AV114">
        <v>14</v>
      </c>
      <c r="AW114">
        <v>3</v>
      </c>
      <c r="AX114" t="s">
        <v>74</v>
      </c>
      <c r="AY114" t="s">
        <v>74</v>
      </c>
      <c r="AZ114" t="s">
        <v>74</v>
      </c>
      <c r="BA114" t="s">
        <v>74</v>
      </c>
      <c r="BB114">
        <v>223</v>
      </c>
      <c r="BC114">
        <v>234</v>
      </c>
      <c r="BD114" t="s">
        <v>74</v>
      </c>
      <c r="BE114" t="s">
        <v>2050</v>
      </c>
      <c r="BF114" t="str">
        <f>HYPERLINK("http://dx.doi.org/10.1080/10020070412331343391","http://dx.doi.org/10.1080/10020070412331343391")</f>
        <v>http://dx.doi.org/10.1080/10020070412331343391</v>
      </c>
      <c r="BG114" t="s">
        <v>74</v>
      </c>
      <c r="BH114" t="s">
        <v>74</v>
      </c>
      <c r="BI114">
        <v>12</v>
      </c>
      <c r="BJ114" t="s">
        <v>2051</v>
      </c>
      <c r="BK114" t="s">
        <v>96</v>
      </c>
      <c r="BL114" t="s">
        <v>2052</v>
      </c>
      <c r="BM114" t="s">
        <v>2053</v>
      </c>
      <c r="BN114" t="s">
        <v>74</v>
      </c>
      <c r="BO114" t="s">
        <v>74</v>
      </c>
      <c r="BP114" t="s">
        <v>74</v>
      </c>
      <c r="BQ114" t="s">
        <v>74</v>
      </c>
      <c r="BR114" t="s">
        <v>99</v>
      </c>
      <c r="BS114" t="s">
        <v>2054</v>
      </c>
      <c r="BT114" t="str">
        <f>HYPERLINK("https%3A%2F%2Fwww.webofscience.com%2Fwos%2Fwoscc%2Ffull-record%2FWOS:000220878700005","View Full Record in Web of Science")</f>
        <v>View Full Record in Web of Science</v>
      </c>
    </row>
    <row r="115" spans="1:72" x14ac:dyDescent="0.15">
      <c r="A115" t="s">
        <v>72</v>
      </c>
      <c r="B115" t="s">
        <v>2055</v>
      </c>
      <c r="C115" t="s">
        <v>74</v>
      </c>
      <c r="D115" t="s">
        <v>74</v>
      </c>
      <c r="E115" t="s">
        <v>74</v>
      </c>
      <c r="F115" t="s">
        <v>2055</v>
      </c>
      <c r="G115" t="s">
        <v>74</v>
      </c>
      <c r="H115" t="s">
        <v>74</v>
      </c>
      <c r="I115" t="s">
        <v>2056</v>
      </c>
      <c r="J115" t="s">
        <v>2057</v>
      </c>
      <c r="K115" t="s">
        <v>74</v>
      </c>
      <c r="L115" t="s">
        <v>74</v>
      </c>
      <c r="M115" t="s">
        <v>77</v>
      </c>
      <c r="N115" t="s">
        <v>78</v>
      </c>
      <c r="O115" t="s">
        <v>74</v>
      </c>
      <c r="P115" t="s">
        <v>74</v>
      </c>
      <c r="Q115" t="s">
        <v>74</v>
      </c>
      <c r="R115" t="s">
        <v>74</v>
      </c>
      <c r="S115" t="s">
        <v>74</v>
      </c>
      <c r="T115" t="s">
        <v>2058</v>
      </c>
      <c r="U115" t="s">
        <v>2059</v>
      </c>
      <c r="V115" t="s">
        <v>2060</v>
      </c>
      <c r="W115" t="s">
        <v>2061</v>
      </c>
      <c r="X115" t="s">
        <v>2062</v>
      </c>
      <c r="Y115" t="s">
        <v>2063</v>
      </c>
      <c r="Z115" t="s">
        <v>2064</v>
      </c>
      <c r="AA115" t="s">
        <v>74</v>
      </c>
      <c r="AB115" t="s">
        <v>2065</v>
      </c>
      <c r="AC115" t="s">
        <v>74</v>
      </c>
      <c r="AD115" t="s">
        <v>74</v>
      </c>
      <c r="AE115" t="s">
        <v>74</v>
      </c>
      <c r="AF115" t="s">
        <v>74</v>
      </c>
      <c r="AG115">
        <v>50</v>
      </c>
      <c r="AH115">
        <v>23</v>
      </c>
      <c r="AI115">
        <v>30</v>
      </c>
      <c r="AJ115">
        <v>2</v>
      </c>
      <c r="AK115">
        <v>12</v>
      </c>
      <c r="AL115" t="s">
        <v>136</v>
      </c>
      <c r="AM115" t="s">
        <v>87</v>
      </c>
      <c r="AN115" t="s">
        <v>137</v>
      </c>
      <c r="AO115" t="s">
        <v>2066</v>
      </c>
      <c r="AP115" t="s">
        <v>2067</v>
      </c>
      <c r="AQ115" t="s">
        <v>74</v>
      </c>
      <c r="AR115" t="s">
        <v>2068</v>
      </c>
      <c r="AS115" t="s">
        <v>2069</v>
      </c>
      <c r="AT115" t="s">
        <v>913</v>
      </c>
      <c r="AU115">
        <v>2004</v>
      </c>
      <c r="AV115">
        <v>61</v>
      </c>
      <c r="AW115">
        <v>2</v>
      </c>
      <c r="AX115" t="s">
        <v>74</v>
      </c>
      <c r="AY115" t="s">
        <v>74</v>
      </c>
      <c r="AZ115" t="s">
        <v>74</v>
      </c>
      <c r="BA115" t="s">
        <v>74</v>
      </c>
      <c r="BB115">
        <v>168</v>
      </c>
      <c r="BC115">
        <v>180</v>
      </c>
      <c r="BD115" t="s">
        <v>74</v>
      </c>
      <c r="BE115" t="s">
        <v>2070</v>
      </c>
      <c r="BF115" t="str">
        <f>HYPERLINK("http://dx.doi.org/10.1016/j.yqres.2003.12.002","http://dx.doi.org/10.1016/j.yqres.2003.12.002")</f>
        <v>http://dx.doi.org/10.1016/j.yqres.2003.12.002</v>
      </c>
      <c r="BG115" t="s">
        <v>74</v>
      </c>
      <c r="BH115" t="s">
        <v>74</v>
      </c>
      <c r="BI115">
        <v>13</v>
      </c>
      <c r="BJ115" t="s">
        <v>1400</v>
      </c>
      <c r="BK115" t="s">
        <v>96</v>
      </c>
      <c r="BL115" t="s">
        <v>1401</v>
      </c>
      <c r="BM115" t="s">
        <v>2071</v>
      </c>
      <c r="BN115" t="s">
        <v>74</v>
      </c>
      <c r="BO115" t="s">
        <v>74</v>
      </c>
      <c r="BP115" t="s">
        <v>74</v>
      </c>
      <c r="BQ115" t="s">
        <v>74</v>
      </c>
      <c r="BR115" t="s">
        <v>99</v>
      </c>
      <c r="BS115" t="s">
        <v>2072</v>
      </c>
      <c r="BT115" t="str">
        <f>HYPERLINK("https%3A%2F%2Fwww.webofscience.com%2Fwos%2Fwoscc%2Ffull-record%2FWOS:000220584000005","View Full Record in Web of Science")</f>
        <v>View Full Record in Web of Science</v>
      </c>
    </row>
    <row r="116" spans="1:72" x14ac:dyDescent="0.15">
      <c r="A116" t="s">
        <v>72</v>
      </c>
      <c r="B116" t="s">
        <v>2073</v>
      </c>
      <c r="C116" t="s">
        <v>74</v>
      </c>
      <c r="D116" t="s">
        <v>74</v>
      </c>
      <c r="E116" t="s">
        <v>74</v>
      </c>
      <c r="F116" t="s">
        <v>2073</v>
      </c>
      <c r="G116" t="s">
        <v>74</v>
      </c>
      <c r="H116" t="s">
        <v>74</v>
      </c>
      <c r="I116" t="s">
        <v>2074</v>
      </c>
      <c r="J116" t="s">
        <v>2075</v>
      </c>
      <c r="K116" t="s">
        <v>74</v>
      </c>
      <c r="L116" t="s">
        <v>74</v>
      </c>
      <c r="M116" t="s">
        <v>77</v>
      </c>
      <c r="N116" t="s">
        <v>78</v>
      </c>
      <c r="O116" t="s">
        <v>74</v>
      </c>
      <c r="P116" t="s">
        <v>74</v>
      </c>
      <c r="Q116" t="s">
        <v>74</v>
      </c>
      <c r="R116" t="s">
        <v>74</v>
      </c>
      <c r="S116" t="s">
        <v>74</v>
      </c>
      <c r="T116" t="s">
        <v>2076</v>
      </c>
      <c r="U116" t="s">
        <v>2077</v>
      </c>
      <c r="V116" t="s">
        <v>2078</v>
      </c>
      <c r="W116" t="s">
        <v>2079</v>
      </c>
      <c r="X116" t="s">
        <v>2080</v>
      </c>
      <c r="Y116" t="s">
        <v>2081</v>
      </c>
      <c r="Z116" t="s">
        <v>2082</v>
      </c>
      <c r="AA116" t="s">
        <v>2083</v>
      </c>
      <c r="AB116" t="s">
        <v>2084</v>
      </c>
      <c r="AC116" t="s">
        <v>74</v>
      </c>
      <c r="AD116" t="s">
        <v>74</v>
      </c>
      <c r="AE116" t="s">
        <v>74</v>
      </c>
      <c r="AF116" t="s">
        <v>74</v>
      </c>
      <c r="AG116">
        <v>40</v>
      </c>
      <c r="AH116">
        <v>53</v>
      </c>
      <c r="AI116">
        <v>60</v>
      </c>
      <c r="AJ116">
        <v>0</v>
      </c>
      <c r="AK116">
        <v>4</v>
      </c>
      <c r="AL116" t="s">
        <v>2085</v>
      </c>
      <c r="AM116" t="s">
        <v>2086</v>
      </c>
      <c r="AN116" t="s">
        <v>2087</v>
      </c>
      <c r="AO116" t="s">
        <v>2088</v>
      </c>
      <c r="AP116" t="s">
        <v>74</v>
      </c>
      <c r="AQ116" t="s">
        <v>74</v>
      </c>
      <c r="AR116" t="s">
        <v>2089</v>
      </c>
      <c r="AS116" t="s">
        <v>2090</v>
      </c>
      <c r="AT116" t="s">
        <v>913</v>
      </c>
      <c r="AU116">
        <v>2004</v>
      </c>
      <c r="AV116">
        <v>27</v>
      </c>
      <c r="AW116">
        <v>2</v>
      </c>
      <c r="AX116" t="s">
        <v>74</v>
      </c>
      <c r="AY116" t="s">
        <v>74</v>
      </c>
      <c r="AZ116" t="s">
        <v>74</v>
      </c>
      <c r="BA116" t="s">
        <v>74</v>
      </c>
      <c r="BB116">
        <v>166</v>
      </c>
      <c r="BC116">
        <v>174</v>
      </c>
      <c r="BD116" t="s">
        <v>74</v>
      </c>
      <c r="BE116" t="s">
        <v>2091</v>
      </c>
      <c r="BF116" t="str">
        <f>HYPERLINK("http://dx.doi.org/10.1078/072320204322881781","http://dx.doi.org/10.1078/072320204322881781")</f>
        <v>http://dx.doi.org/10.1078/072320204322881781</v>
      </c>
      <c r="BG116" t="s">
        <v>74</v>
      </c>
      <c r="BH116" t="s">
        <v>74</v>
      </c>
      <c r="BI116">
        <v>9</v>
      </c>
      <c r="BJ116" t="s">
        <v>2092</v>
      </c>
      <c r="BK116" t="s">
        <v>96</v>
      </c>
      <c r="BL116" t="s">
        <v>2092</v>
      </c>
      <c r="BM116" t="s">
        <v>2093</v>
      </c>
      <c r="BN116">
        <v>15046305</v>
      </c>
      <c r="BO116" t="s">
        <v>74</v>
      </c>
      <c r="BP116" t="s">
        <v>74</v>
      </c>
      <c r="BQ116" t="s">
        <v>74</v>
      </c>
      <c r="BR116" t="s">
        <v>99</v>
      </c>
      <c r="BS116" t="s">
        <v>2094</v>
      </c>
      <c r="BT116" t="str">
        <f>HYPERLINK("https%3A%2F%2Fwww.webofscience.com%2Fwos%2Fwoscc%2Ffull-record%2FWOS:000220467300006","View Full Record in Web of Science")</f>
        <v>View Full Record in Web of Science</v>
      </c>
    </row>
    <row r="117" spans="1:72" x14ac:dyDescent="0.15">
      <c r="A117" t="s">
        <v>72</v>
      </c>
      <c r="B117" t="s">
        <v>2095</v>
      </c>
      <c r="C117" t="s">
        <v>74</v>
      </c>
      <c r="D117" t="s">
        <v>74</v>
      </c>
      <c r="E117" t="s">
        <v>74</v>
      </c>
      <c r="F117" t="s">
        <v>2095</v>
      </c>
      <c r="G117" t="s">
        <v>74</v>
      </c>
      <c r="H117" t="s">
        <v>74</v>
      </c>
      <c r="I117" t="s">
        <v>2096</v>
      </c>
      <c r="J117" t="s">
        <v>2097</v>
      </c>
      <c r="K117" t="s">
        <v>74</v>
      </c>
      <c r="L117" t="s">
        <v>74</v>
      </c>
      <c r="M117" t="s">
        <v>77</v>
      </c>
      <c r="N117" t="s">
        <v>78</v>
      </c>
      <c r="O117" t="s">
        <v>74</v>
      </c>
      <c r="P117" t="s">
        <v>74</v>
      </c>
      <c r="Q117" t="s">
        <v>74</v>
      </c>
      <c r="R117" t="s">
        <v>74</v>
      </c>
      <c r="S117" t="s">
        <v>74</v>
      </c>
      <c r="T117" t="s">
        <v>2098</v>
      </c>
      <c r="U117" t="s">
        <v>2099</v>
      </c>
      <c r="V117" t="s">
        <v>2100</v>
      </c>
      <c r="W117" t="s">
        <v>2101</v>
      </c>
      <c r="X117" t="s">
        <v>2102</v>
      </c>
      <c r="Y117" t="s">
        <v>2103</v>
      </c>
      <c r="Z117" t="s">
        <v>2104</v>
      </c>
      <c r="AA117" t="s">
        <v>74</v>
      </c>
      <c r="AB117" t="s">
        <v>74</v>
      </c>
      <c r="AC117" t="s">
        <v>74</v>
      </c>
      <c r="AD117" t="s">
        <v>74</v>
      </c>
      <c r="AE117" t="s">
        <v>74</v>
      </c>
      <c r="AF117" t="s">
        <v>74</v>
      </c>
      <c r="AG117">
        <v>54</v>
      </c>
      <c r="AH117">
        <v>9</v>
      </c>
      <c r="AI117">
        <v>9</v>
      </c>
      <c r="AJ117">
        <v>6</v>
      </c>
      <c r="AK117">
        <v>23</v>
      </c>
      <c r="AL117" t="s">
        <v>2105</v>
      </c>
      <c r="AM117" t="s">
        <v>214</v>
      </c>
      <c r="AN117" t="s">
        <v>2106</v>
      </c>
      <c r="AO117" t="s">
        <v>2107</v>
      </c>
      <c r="AP117" t="s">
        <v>2108</v>
      </c>
      <c r="AQ117" t="s">
        <v>74</v>
      </c>
      <c r="AR117" t="s">
        <v>2109</v>
      </c>
      <c r="AS117" t="s">
        <v>2110</v>
      </c>
      <c r="AT117" t="s">
        <v>913</v>
      </c>
      <c r="AU117">
        <v>2004</v>
      </c>
      <c r="AV117">
        <v>23</v>
      </c>
      <c r="AW117">
        <v>3</v>
      </c>
      <c r="AX117" t="s">
        <v>74</v>
      </c>
      <c r="AY117" t="s">
        <v>74</v>
      </c>
      <c r="AZ117" t="s">
        <v>74</v>
      </c>
      <c r="BA117" t="s">
        <v>74</v>
      </c>
      <c r="BB117">
        <v>273</v>
      </c>
      <c r="BC117">
        <v>280</v>
      </c>
      <c r="BD117" t="s">
        <v>74</v>
      </c>
      <c r="BE117" t="s">
        <v>2111</v>
      </c>
      <c r="BF117" t="str">
        <f>HYPERLINK("http://dx.doi.org/10.1016/S0165-9936(04)00311-5","http://dx.doi.org/10.1016/S0165-9936(04)00311-5")</f>
        <v>http://dx.doi.org/10.1016/S0165-9936(04)00311-5</v>
      </c>
      <c r="BG117" t="s">
        <v>74</v>
      </c>
      <c r="BH117" t="s">
        <v>74</v>
      </c>
      <c r="BI117">
        <v>8</v>
      </c>
      <c r="BJ117" t="s">
        <v>2112</v>
      </c>
      <c r="BK117" t="s">
        <v>96</v>
      </c>
      <c r="BL117" t="s">
        <v>2113</v>
      </c>
      <c r="BM117" t="s">
        <v>2114</v>
      </c>
      <c r="BN117" t="s">
        <v>74</v>
      </c>
      <c r="BO117" t="s">
        <v>74</v>
      </c>
      <c r="BP117" t="s">
        <v>74</v>
      </c>
      <c r="BQ117" t="s">
        <v>74</v>
      </c>
      <c r="BR117" t="s">
        <v>99</v>
      </c>
      <c r="BS117" t="s">
        <v>2115</v>
      </c>
      <c r="BT117" t="str">
        <f>HYPERLINK("https%3A%2F%2Fwww.webofscience.com%2Fwos%2Fwoscc%2Ffull-record%2FWOS:000220324900022","View Full Record in Web of Science")</f>
        <v>View Full Record in Web of Science</v>
      </c>
    </row>
    <row r="118" spans="1:72" x14ac:dyDescent="0.15">
      <c r="A118" t="s">
        <v>72</v>
      </c>
      <c r="B118" t="s">
        <v>2116</v>
      </c>
      <c r="C118" t="s">
        <v>74</v>
      </c>
      <c r="D118" t="s">
        <v>74</v>
      </c>
      <c r="E118" t="s">
        <v>74</v>
      </c>
      <c r="F118" t="s">
        <v>2116</v>
      </c>
      <c r="G118" t="s">
        <v>74</v>
      </c>
      <c r="H118" t="s">
        <v>74</v>
      </c>
      <c r="I118" t="s">
        <v>2117</v>
      </c>
      <c r="J118" t="s">
        <v>337</v>
      </c>
      <c r="K118" t="s">
        <v>74</v>
      </c>
      <c r="L118" t="s">
        <v>74</v>
      </c>
      <c r="M118" t="s">
        <v>338</v>
      </c>
      <c r="N118" t="s">
        <v>78</v>
      </c>
      <c r="O118" t="s">
        <v>74</v>
      </c>
      <c r="P118" t="s">
        <v>74</v>
      </c>
      <c r="Q118" t="s">
        <v>74</v>
      </c>
      <c r="R118" t="s">
        <v>74</v>
      </c>
      <c r="S118" t="s">
        <v>74</v>
      </c>
      <c r="T118" t="s">
        <v>74</v>
      </c>
      <c r="U118" t="s">
        <v>2118</v>
      </c>
      <c r="V118" t="s">
        <v>2119</v>
      </c>
      <c r="W118" t="s">
        <v>340</v>
      </c>
      <c r="X118" t="s">
        <v>341</v>
      </c>
      <c r="Y118" t="s">
        <v>2120</v>
      </c>
      <c r="Z118" t="s">
        <v>2121</v>
      </c>
      <c r="AA118" t="s">
        <v>2122</v>
      </c>
      <c r="AB118" t="s">
        <v>2123</v>
      </c>
      <c r="AC118" t="s">
        <v>74</v>
      </c>
      <c r="AD118" t="s">
        <v>74</v>
      </c>
      <c r="AE118" t="s">
        <v>74</v>
      </c>
      <c r="AF118" t="s">
        <v>74</v>
      </c>
      <c r="AG118">
        <v>40</v>
      </c>
      <c r="AH118">
        <v>2</v>
      </c>
      <c r="AI118">
        <v>3</v>
      </c>
      <c r="AJ118">
        <v>2</v>
      </c>
      <c r="AK118">
        <v>9</v>
      </c>
      <c r="AL118" t="s">
        <v>346</v>
      </c>
      <c r="AM118" t="s">
        <v>347</v>
      </c>
      <c r="AN118" t="s">
        <v>348</v>
      </c>
      <c r="AO118" t="s">
        <v>349</v>
      </c>
      <c r="AP118" t="s">
        <v>74</v>
      </c>
      <c r="AQ118" t="s">
        <v>74</v>
      </c>
      <c r="AR118" t="s">
        <v>350</v>
      </c>
      <c r="AS118" t="s">
        <v>351</v>
      </c>
      <c r="AT118" t="s">
        <v>913</v>
      </c>
      <c r="AU118">
        <v>2004</v>
      </c>
      <c r="AV118">
        <v>83</v>
      </c>
      <c r="AW118">
        <v>3</v>
      </c>
      <c r="AX118" t="s">
        <v>74</v>
      </c>
      <c r="AY118" t="s">
        <v>74</v>
      </c>
      <c r="AZ118" t="s">
        <v>74</v>
      </c>
      <c r="BA118" t="s">
        <v>74</v>
      </c>
      <c r="BB118">
        <v>330</v>
      </c>
      <c r="BC118">
        <v>341</v>
      </c>
      <c r="BD118" t="s">
        <v>74</v>
      </c>
      <c r="BE118" t="s">
        <v>74</v>
      </c>
      <c r="BF118" t="s">
        <v>74</v>
      </c>
      <c r="BG118" t="s">
        <v>74</v>
      </c>
      <c r="BH118" t="s">
        <v>74</v>
      </c>
      <c r="BI118">
        <v>12</v>
      </c>
      <c r="BJ118" t="s">
        <v>331</v>
      </c>
      <c r="BK118" t="s">
        <v>96</v>
      </c>
      <c r="BL118" t="s">
        <v>331</v>
      </c>
      <c r="BM118" t="s">
        <v>2124</v>
      </c>
      <c r="BN118" t="s">
        <v>74</v>
      </c>
      <c r="BO118" t="s">
        <v>74</v>
      </c>
      <c r="BP118" t="s">
        <v>74</v>
      </c>
      <c r="BQ118" t="s">
        <v>74</v>
      </c>
      <c r="BR118" t="s">
        <v>99</v>
      </c>
      <c r="BS118" t="s">
        <v>2125</v>
      </c>
      <c r="BT118" t="str">
        <f>HYPERLINK("https%3A%2F%2Fwww.webofscience.com%2Fwos%2Fwoscc%2Ffull-record%2FWOS:000221018400006","View Full Record in Web of Science")</f>
        <v>View Full Record in Web of Science</v>
      </c>
    </row>
    <row r="119" spans="1:72" x14ac:dyDescent="0.15">
      <c r="A119" t="s">
        <v>72</v>
      </c>
      <c r="B119" t="s">
        <v>2126</v>
      </c>
      <c r="C119" t="s">
        <v>74</v>
      </c>
      <c r="D119" t="s">
        <v>74</v>
      </c>
      <c r="E119" t="s">
        <v>74</v>
      </c>
      <c r="F119" t="s">
        <v>2126</v>
      </c>
      <c r="G119" t="s">
        <v>74</v>
      </c>
      <c r="H119" t="s">
        <v>74</v>
      </c>
      <c r="I119" t="s">
        <v>2127</v>
      </c>
      <c r="J119" t="s">
        <v>2128</v>
      </c>
      <c r="K119" t="s">
        <v>74</v>
      </c>
      <c r="L119" t="s">
        <v>74</v>
      </c>
      <c r="M119" t="s">
        <v>77</v>
      </c>
      <c r="N119" t="s">
        <v>78</v>
      </c>
      <c r="O119" t="s">
        <v>74</v>
      </c>
      <c r="P119" t="s">
        <v>74</v>
      </c>
      <c r="Q119" t="s">
        <v>74</v>
      </c>
      <c r="R119" t="s">
        <v>74</v>
      </c>
      <c r="S119" t="s">
        <v>74</v>
      </c>
      <c r="T119" t="s">
        <v>2129</v>
      </c>
      <c r="U119" t="s">
        <v>2130</v>
      </c>
      <c r="V119" t="s">
        <v>2131</v>
      </c>
      <c r="W119" t="s">
        <v>2132</v>
      </c>
      <c r="X119" t="s">
        <v>2133</v>
      </c>
      <c r="Y119" t="s">
        <v>2134</v>
      </c>
      <c r="Z119" t="s">
        <v>2135</v>
      </c>
      <c r="AA119" t="s">
        <v>2136</v>
      </c>
      <c r="AB119" t="s">
        <v>2137</v>
      </c>
      <c r="AC119" t="s">
        <v>74</v>
      </c>
      <c r="AD119" t="s">
        <v>74</v>
      </c>
      <c r="AE119" t="s">
        <v>74</v>
      </c>
      <c r="AF119" t="s">
        <v>74</v>
      </c>
      <c r="AG119">
        <v>84</v>
      </c>
      <c r="AH119">
        <v>245</v>
      </c>
      <c r="AI119">
        <v>262</v>
      </c>
      <c r="AJ119">
        <v>1</v>
      </c>
      <c r="AK119">
        <v>17</v>
      </c>
      <c r="AL119" t="s">
        <v>685</v>
      </c>
      <c r="AM119" t="s">
        <v>529</v>
      </c>
      <c r="AN119" t="s">
        <v>686</v>
      </c>
      <c r="AO119" t="s">
        <v>2138</v>
      </c>
      <c r="AP119" t="s">
        <v>2139</v>
      </c>
      <c r="AQ119" t="s">
        <v>74</v>
      </c>
      <c r="AR119" t="s">
        <v>2140</v>
      </c>
      <c r="AS119" t="s">
        <v>2141</v>
      </c>
      <c r="AT119" t="s">
        <v>2142</v>
      </c>
      <c r="AU119">
        <v>2004</v>
      </c>
      <c r="AV119">
        <v>219</v>
      </c>
      <c r="AW119" t="s">
        <v>536</v>
      </c>
      <c r="AX119" t="s">
        <v>74</v>
      </c>
      <c r="AY119" t="s">
        <v>74</v>
      </c>
      <c r="AZ119" t="s">
        <v>74</v>
      </c>
      <c r="BA119" t="s">
        <v>74</v>
      </c>
      <c r="BB119">
        <v>35</v>
      </c>
      <c r="BC119">
        <v>48</v>
      </c>
      <c r="BD119" t="s">
        <v>74</v>
      </c>
      <c r="BE119" t="s">
        <v>2143</v>
      </c>
      <c r="BF119" t="str">
        <f>HYPERLINK("http://dx.doi.org/10.1016/S0012-821X(03)00692-7","http://dx.doi.org/10.1016/S0012-821X(03)00692-7")</f>
        <v>http://dx.doi.org/10.1016/S0012-821X(03)00692-7</v>
      </c>
      <c r="BG119" t="s">
        <v>74</v>
      </c>
      <c r="BH119" t="s">
        <v>74</v>
      </c>
      <c r="BI119">
        <v>14</v>
      </c>
      <c r="BJ119" t="s">
        <v>262</v>
      </c>
      <c r="BK119" t="s">
        <v>96</v>
      </c>
      <c r="BL119" t="s">
        <v>262</v>
      </c>
      <c r="BM119" t="s">
        <v>2144</v>
      </c>
      <c r="BN119" t="s">
        <v>74</v>
      </c>
      <c r="BO119" t="s">
        <v>74</v>
      </c>
      <c r="BP119" t="s">
        <v>74</v>
      </c>
      <c r="BQ119" t="s">
        <v>74</v>
      </c>
      <c r="BR119" t="s">
        <v>99</v>
      </c>
      <c r="BS119" t="s">
        <v>2145</v>
      </c>
      <c r="BT119" t="str">
        <f>HYPERLINK("https%3A%2F%2Fwww.webofscience.com%2Fwos%2Fwoscc%2Ffull-record%2FWOS:000189225900004","View Full Record in Web of Science")</f>
        <v>View Full Record in Web of Science</v>
      </c>
    </row>
    <row r="120" spans="1:72" x14ac:dyDescent="0.15">
      <c r="A120" t="s">
        <v>72</v>
      </c>
      <c r="B120" t="s">
        <v>2146</v>
      </c>
      <c r="C120" t="s">
        <v>74</v>
      </c>
      <c r="D120" t="s">
        <v>74</v>
      </c>
      <c r="E120" t="s">
        <v>74</v>
      </c>
      <c r="F120" t="s">
        <v>2146</v>
      </c>
      <c r="G120" t="s">
        <v>74</v>
      </c>
      <c r="H120" t="s">
        <v>74</v>
      </c>
      <c r="I120" t="s">
        <v>2147</v>
      </c>
      <c r="J120" t="s">
        <v>2148</v>
      </c>
      <c r="K120" t="s">
        <v>74</v>
      </c>
      <c r="L120" t="s">
        <v>74</v>
      </c>
      <c r="M120" t="s">
        <v>77</v>
      </c>
      <c r="N120" t="s">
        <v>78</v>
      </c>
      <c r="O120" t="s">
        <v>74</v>
      </c>
      <c r="P120" t="s">
        <v>74</v>
      </c>
      <c r="Q120" t="s">
        <v>74</v>
      </c>
      <c r="R120" t="s">
        <v>74</v>
      </c>
      <c r="S120" t="s">
        <v>74</v>
      </c>
      <c r="T120" t="s">
        <v>2149</v>
      </c>
      <c r="U120" t="s">
        <v>2150</v>
      </c>
      <c r="V120" t="s">
        <v>2151</v>
      </c>
      <c r="W120" t="s">
        <v>2152</v>
      </c>
      <c r="X120" t="s">
        <v>2153</v>
      </c>
      <c r="Y120" t="s">
        <v>2154</v>
      </c>
      <c r="Z120" t="s">
        <v>2155</v>
      </c>
      <c r="AA120" t="s">
        <v>74</v>
      </c>
      <c r="AB120" t="s">
        <v>74</v>
      </c>
      <c r="AC120" t="s">
        <v>74</v>
      </c>
      <c r="AD120" t="s">
        <v>74</v>
      </c>
      <c r="AE120" t="s">
        <v>74</v>
      </c>
      <c r="AF120" t="s">
        <v>74</v>
      </c>
      <c r="AG120">
        <v>77</v>
      </c>
      <c r="AH120">
        <v>31</v>
      </c>
      <c r="AI120">
        <v>33</v>
      </c>
      <c r="AJ120">
        <v>0</v>
      </c>
      <c r="AK120">
        <v>7</v>
      </c>
      <c r="AL120" t="s">
        <v>685</v>
      </c>
      <c r="AM120" t="s">
        <v>529</v>
      </c>
      <c r="AN120" t="s">
        <v>686</v>
      </c>
      <c r="AO120" t="s">
        <v>2156</v>
      </c>
      <c r="AP120" t="s">
        <v>2157</v>
      </c>
      <c r="AQ120" t="s">
        <v>74</v>
      </c>
      <c r="AR120" t="s">
        <v>2158</v>
      </c>
      <c r="AS120" t="s">
        <v>2159</v>
      </c>
      <c r="AT120" t="s">
        <v>2142</v>
      </c>
      <c r="AU120">
        <v>2004</v>
      </c>
      <c r="AV120">
        <v>204</v>
      </c>
      <c r="AW120" t="s">
        <v>536</v>
      </c>
      <c r="AX120" t="s">
        <v>74</v>
      </c>
      <c r="AY120" t="s">
        <v>74</v>
      </c>
      <c r="AZ120" t="s">
        <v>74</v>
      </c>
      <c r="BA120" t="s">
        <v>74</v>
      </c>
      <c r="BB120">
        <v>43</v>
      </c>
      <c r="BC120">
        <v>57</v>
      </c>
      <c r="BD120" t="s">
        <v>74</v>
      </c>
      <c r="BE120" t="s">
        <v>2160</v>
      </c>
      <c r="BF120" t="str">
        <f>HYPERLINK("http://dx.doi.org/10.1016/S0025-3227(03)00372-4","http://dx.doi.org/10.1016/S0025-3227(03)00372-4")</f>
        <v>http://dx.doi.org/10.1016/S0025-3227(03)00372-4</v>
      </c>
      <c r="BG120" t="s">
        <v>74</v>
      </c>
      <c r="BH120" t="s">
        <v>74</v>
      </c>
      <c r="BI120">
        <v>15</v>
      </c>
      <c r="BJ120" t="s">
        <v>2161</v>
      </c>
      <c r="BK120" t="s">
        <v>96</v>
      </c>
      <c r="BL120" t="s">
        <v>2162</v>
      </c>
      <c r="BM120" t="s">
        <v>2163</v>
      </c>
      <c r="BN120" t="s">
        <v>74</v>
      </c>
      <c r="BO120" t="s">
        <v>74</v>
      </c>
      <c r="BP120" t="s">
        <v>74</v>
      </c>
      <c r="BQ120" t="s">
        <v>74</v>
      </c>
      <c r="BR120" t="s">
        <v>99</v>
      </c>
      <c r="BS120" t="s">
        <v>2164</v>
      </c>
      <c r="BT120" t="str">
        <f>HYPERLINK("https%3A%2F%2Fwww.webofscience.com%2Fwos%2Fwoscc%2Ffull-record%2FWOS:000189321600004","View Full Record in Web of Science")</f>
        <v>View Full Record in Web of Science</v>
      </c>
    </row>
    <row r="121" spans="1:72" x14ac:dyDescent="0.15">
      <c r="A121" t="s">
        <v>72</v>
      </c>
      <c r="B121" t="s">
        <v>2165</v>
      </c>
      <c r="C121" t="s">
        <v>74</v>
      </c>
      <c r="D121" t="s">
        <v>74</v>
      </c>
      <c r="E121" t="s">
        <v>74</v>
      </c>
      <c r="F121" t="s">
        <v>2165</v>
      </c>
      <c r="G121" t="s">
        <v>74</v>
      </c>
      <c r="H121" t="s">
        <v>74</v>
      </c>
      <c r="I121" t="s">
        <v>2166</v>
      </c>
      <c r="J121" t="s">
        <v>2148</v>
      </c>
      <c r="K121" t="s">
        <v>74</v>
      </c>
      <c r="L121" t="s">
        <v>74</v>
      </c>
      <c r="M121" t="s">
        <v>77</v>
      </c>
      <c r="N121" t="s">
        <v>78</v>
      </c>
      <c r="O121" t="s">
        <v>74</v>
      </c>
      <c r="P121" t="s">
        <v>74</v>
      </c>
      <c r="Q121" t="s">
        <v>74</v>
      </c>
      <c r="R121" t="s">
        <v>74</v>
      </c>
      <c r="S121" t="s">
        <v>74</v>
      </c>
      <c r="T121" t="s">
        <v>2167</v>
      </c>
      <c r="U121" t="s">
        <v>2168</v>
      </c>
      <c r="V121" t="s">
        <v>2169</v>
      </c>
      <c r="W121" t="s">
        <v>2170</v>
      </c>
      <c r="X121" t="s">
        <v>2171</v>
      </c>
      <c r="Y121" t="s">
        <v>2172</v>
      </c>
      <c r="Z121" t="s">
        <v>2173</v>
      </c>
      <c r="AA121" t="s">
        <v>74</v>
      </c>
      <c r="AB121" t="s">
        <v>2174</v>
      </c>
      <c r="AC121" t="s">
        <v>74</v>
      </c>
      <c r="AD121" t="s">
        <v>74</v>
      </c>
      <c r="AE121" t="s">
        <v>74</v>
      </c>
      <c r="AF121" t="s">
        <v>74</v>
      </c>
      <c r="AG121">
        <v>46</v>
      </c>
      <c r="AH121">
        <v>106</v>
      </c>
      <c r="AI121">
        <v>114</v>
      </c>
      <c r="AJ121">
        <v>1</v>
      </c>
      <c r="AK121">
        <v>20</v>
      </c>
      <c r="AL121" t="s">
        <v>685</v>
      </c>
      <c r="AM121" t="s">
        <v>529</v>
      </c>
      <c r="AN121" t="s">
        <v>686</v>
      </c>
      <c r="AO121" t="s">
        <v>2156</v>
      </c>
      <c r="AP121" t="s">
        <v>2157</v>
      </c>
      <c r="AQ121" t="s">
        <v>74</v>
      </c>
      <c r="AR121" t="s">
        <v>2158</v>
      </c>
      <c r="AS121" t="s">
        <v>2159</v>
      </c>
      <c r="AT121" t="s">
        <v>2142</v>
      </c>
      <c r="AU121">
        <v>2004</v>
      </c>
      <c r="AV121">
        <v>204</v>
      </c>
      <c r="AW121" t="s">
        <v>536</v>
      </c>
      <c r="AX121" t="s">
        <v>74</v>
      </c>
      <c r="AY121" t="s">
        <v>74</v>
      </c>
      <c r="AZ121" t="s">
        <v>74</v>
      </c>
      <c r="BA121" t="s">
        <v>74</v>
      </c>
      <c r="BB121">
        <v>203</v>
      </c>
      <c r="BC121">
        <v>214</v>
      </c>
      <c r="BD121" t="s">
        <v>74</v>
      </c>
      <c r="BE121" t="s">
        <v>2175</v>
      </c>
      <c r="BF121" t="str">
        <f>HYPERLINK("http://dx.doi.org/10.1016/S0025-3227(03)00338-4","http://dx.doi.org/10.1016/S0025-3227(03)00338-4")</f>
        <v>http://dx.doi.org/10.1016/S0025-3227(03)00338-4</v>
      </c>
      <c r="BG121" t="s">
        <v>74</v>
      </c>
      <c r="BH121" t="s">
        <v>74</v>
      </c>
      <c r="BI121">
        <v>12</v>
      </c>
      <c r="BJ121" t="s">
        <v>2161</v>
      </c>
      <c r="BK121" t="s">
        <v>96</v>
      </c>
      <c r="BL121" t="s">
        <v>2162</v>
      </c>
      <c r="BM121" t="s">
        <v>2163</v>
      </c>
      <c r="BN121" t="s">
        <v>74</v>
      </c>
      <c r="BO121" t="s">
        <v>74</v>
      </c>
      <c r="BP121" t="s">
        <v>74</v>
      </c>
      <c r="BQ121" t="s">
        <v>74</v>
      </c>
      <c r="BR121" t="s">
        <v>99</v>
      </c>
      <c r="BS121" t="s">
        <v>2176</v>
      </c>
      <c r="BT121" t="str">
        <f>HYPERLINK("https%3A%2F%2Fwww.webofscience.com%2Fwos%2Fwoscc%2Ffull-record%2FWOS:000189321600011","View Full Record in Web of Science")</f>
        <v>View Full Record in Web of Science</v>
      </c>
    </row>
    <row r="122" spans="1:72" x14ac:dyDescent="0.15">
      <c r="A122" t="s">
        <v>72</v>
      </c>
      <c r="B122" t="s">
        <v>2177</v>
      </c>
      <c r="C122" t="s">
        <v>74</v>
      </c>
      <c r="D122" t="s">
        <v>74</v>
      </c>
      <c r="E122" t="s">
        <v>74</v>
      </c>
      <c r="F122" t="s">
        <v>2177</v>
      </c>
      <c r="G122" t="s">
        <v>74</v>
      </c>
      <c r="H122" t="s">
        <v>74</v>
      </c>
      <c r="I122" t="s">
        <v>2178</v>
      </c>
      <c r="J122" t="s">
        <v>545</v>
      </c>
      <c r="K122" t="s">
        <v>74</v>
      </c>
      <c r="L122" t="s">
        <v>74</v>
      </c>
      <c r="M122" t="s">
        <v>77</v>
      </c>
      <c r="N122" t="s">
        <v>78</v>
      </c>
      <c r="O122" t="s">
        <v>74</v>
      </c>
      <c r="P122" t="s">
        <v>74</v>
      </c>
      <c r="Q122" t="s">
        <v>74</v>
      </c>
      <c r="R122" t="s">
        <v>74</v>
      </c>
      <c r="S122" t="s">
        <v>74</v>
      </c>
      <c r="T122" t="s">
        <v>74</v>
      </c>
      <c r="U122" t="s">
        <v>2179</v>
      </c>
      <c r="V122" t="s">
        <v>2180</v>
      </c>
      <c r="W122" t="s">
        <v>2181</v>
      </c>
      <c r="X122" t="s">
        <v>2182</v>
      </c>
      <c r="Y122" t="s">
        <v>2183</v>
      </c>
      <c r="Z122" t="s">
        <v>2184</v>
      </c>
      <c r="AA122" t="s">
        <v>74</v>
      </c>
      <c r="AB122" t="s">
        <v>74</v>
      </c>
      <c r="AC122" t="s">
        <v>74</v>
      </c>
      <c r="AD122" t="s">
        <v>74</v>
      </c>
      <c r="AE122" t="s">
        <v>74</v>
      </c>
      <c r="AF122" t="s">
        <v>74</v>
      </c>
      <c r="AG122">
        <v>8</v>
      </c>
      <c r="AH122">
        <v>0</v>
      </c>
      <c r="AI122">
        <v>0</v>
      </c>
      <c r="AJ122">
        <v>0</v>
      </c>
      <c r="AK122">
        <v>1</v>
      </c>
      <c r="AL122" t="s">
        <v>363</v>
      </c>
      <c r="AM122" t="s">
        <v>364</v>
      </c>
      <c r="AN122" t="s">
        <v>365</v>
      </c>
      <c r="AO122" t="s">
        <v>553</v>
      </c>
      <c r="AP122" t="s">
        <v>554</v>
      </c>
      <c r="AQ122" t="s">
        <v>74</v>
      </c>
      <c r="AR122" t="s">
        <v>555</v>
      </c>
      <c r="AS122" t="s">
        <v>556</v>
      </c>
      <c r="AT122" t="s">
        <v>2185</v>
      </c>
      <c r="AU122">
        <v>2004</v>
      </c>
      <c r="AV122">
        <v>31</v>
      </c>
      <c r="AW122">
        <v>4</v>
      </c>
      <c r="AX122" t="s">
        <v>74</v>
      </c>
      <c r="AY122" t="s">
        <v>74</v>
      </c>
      <c r="AZ122" t="s">
        <v>74</v>
      </c>
      <c r="BA122" t="s">
        <v>74</v>
      </c>
      <c r="BB122" t="s">
        <v>74</v>
      </c>
      <c r="BC122" t="s">
        <v>74</v>
      </c>
      <c r="BD122" t="s">
        <v>2186</v>
      </c>
      <c r="BE122" t="s">
        <v>2187</v>
      </c>
      <c r="BF122" t="str">
        <f>HYPERLINK("http://dx.doi.org/10.1029/2003GL018768","http://dx.doi.org/10.1029/2003GL018768")</f>
        <v>http://dx.doi.org/10.1029/2003GL018768</v>
      </c>
      <c r="BG122" t="s">
        <v>74</v>
      </c>
      <c r="BH122" t="s">
        <v>74</v>
      </c>
      <c r="BI122">
        <v>5</v>
      </c>
      <c r="BJ122" t="s">
        <v>560</v>
      </c>
      <c r="BK122" t="s">
        <v>96</v>
      </c>
      <c r="BL122" t="s">
        <v>561</v>
      </c>
      <c r="BM122" t="s">
        <v>2188</v>
      </c>
      <c r="BN122" t="s">
        <v>74</v>
      </c>
      <c r="BO122" t="s">
        <v>541</v>
      </c>
      <c r="BP122" t="s">
        <v>74</v>
      </c>
      <c r="BQ122" t="s">
        <v>74</v>
      </c>
      <c r="BR122" t="s">
        <v>99</v>
      </c>
      <c r="BS122" t="s">
        <v>2189</v>
      </c>
      <c r="BT122" t="str">
        <f>HYPERLINK("https%3A%2F%2Fwww.webofscience.com%2Fwos%2Fwoscc%2Ffull-record%2FWOS:000220215700002","View Full Record in Web of Science")</f>
        <v>View Full Record in Web of Science</v>
      </c>
    </row>
    <row r="123" spans="1:72" x14ac:dyDescent="0.15">
      <c r="A123" t="s">
        <v>72</v>
      </c>
      <c r="B123" t="s">
        <v>2190</v>
      </c>
      <c r="C123" t="s">
        <v>74</v>
      </c>
      <c r="D123" t="s">
        <v>74</v>
      </c>
      <c r="E123" t="s">
        <v>74</v>
      </c>
      <c r="F123" t="s">
        <v>2190</v>
      </c>
      <c r="G123" t="s">
        <v>74</v>
      </c>
      <c r="H123" t="s">
        <v>74</v>
      </c>
      <c r="I123" t="s">
        <v>2191</v>
      </c>
      <c r="J123" t="s">
        <v>419</v>
      </c>
      <c r="K123" t="s">
        <v>74</v>
      </c>
      <c r="L123" t="s">
        <v>74</v>
      </c>
      <c r="M123" t="s">
        <v>77</v>
      </c>
      <c r="N123" t="s">
        <v>78</v>
      </c>
      <c r="O123" t="s">
        <v>74</v>
      </c>
      <c r="P123" t="s">
        <v>74</v>
      </c>
      <c r="Q123" t="s">
        <v>74</v>
      </c>
      <c r="R123" t="s">
        <v>74</v>
      </c>
      <c r="S123" t="s">
        <v>74</v>
      </c>
      <c r="T123" t="s">
        <v>2192</v>
      </c>
      <c r="U123" t="s">
        <v>2193</v>
      </c>
      <c r="V123" t="s">
        <v>2194</v>
      </c>
      <c r="W123" t="s">
        <v>2195</v>
      </c>
      <c r="X123" t="s">
        <v>2196</v>
      </c>
      <c r="Y123" t="s">
        <v>2197</v>
      </c>
      <c r="Z123" t="s">
        <v>2198</v>
      </c>
      <c r="AA123" t="s">
        <v>2199</v>
      </c>
      <c r="AB123" t="s">
        <v>2200</v>
      </c>
      <c r="AC123" t="s">
        <v>74</v>
      </c>
      <c r="AD123" t="s">
        <v>74</v>
      </c>
      <c r="AE123" t="s">
        <v>74</v>
      </c>
      <c r="AF123" t="s">
        <v>74</v>
      </c>
      <c r="AG123">
        <v>16</v>
      </c>
      <c r="AH123">
        <v>57</v>
      </c>
      <c r="AI123">
        <v>60</v>
      </c>
      <c r="AJ123">
        <v>0</v>
      </c>
      <c r="AK123">
        <v>31</v>
      </c>
      <c r="AL123" t="s">
        <v>363</v>
      </c>
      <c r="AM123" t="s">
        <v>364</v>
      </c>
      <c r="AN123" t="s">
        <v>365</v>
      </c>
      <c r="AO123" t="s">
        <v>429</v>
      </c>
      <c r="AP123" t="s">
        <v>74</v>
      </c>
      <c r="AQ123" t="s">
        <v>74</v>
      </c>
      <c r="AR123" t="s">
        <v>431</v>
      </c>
      <c r="AS123" t="s">
        <v>432</v>
      </c>
      <c r="AT123" t="s">
        <v>2201</v>
      </c>
      <c r="AU123">
        <v>2004</v>
      </c>
      <c r="AV123">
        <v>109</v>
      </c>
      <c r="AW123" t="s">
        <v>2202</v>
      </c>
      <c r="AX123" t="s">
        <v>74</v>
      </c>
      <c r="AY123" t="s">
        <v>74</v>
      </c>
      <c r="AZ123" t="s">
        <v>74</v>
      </c>
      <c r="BA123" t="s">
        <v>74</v>
      </c>
      <c r="BB123" t="s">
        <v>74</v>
      </c>
      <c r="BC123" t="s">
        <v>74</v>
      </c>
      <c r="BD123" t="s">
        <v>2203</v>
      </c>
      <c r="BE123" t="s">
        <v>2204</v>
      </c>
      <c r="BF123" t="str">
        <f>HYPERLINK("http://dx.doi.org/10.1029/2003JD004073","http://dx.doi.org/10.1029/2003JD004073")</f>
        <v>http://dx.doi.org/10.1029/2003JD004073</v>
      </c>
      <c r="BG123" t="s">
        <v>74</v>
      </c>
      <c r="BH123" t="s">
        <v>74</v>
      </c>
      <c r="BI123">
        <v>9</v>
      </c>
      <c r="BJ123" t="s">
        <v>186</v>
      </c>
      <c r="BK123" t="s">
        <v>96</v>
      </c>
      <c r="BL123" t="s">
        <v>186</v>
      </c>
      <c r="BM123" t="s">
        <v>2205</v>
      </c>
      <c r="BN123" t="s">
        <v>74</v>
      </c>
      <c r="BO123" t="s">
        <v>479</v>
      </c>
      <c r="BP123" t="s">
        <v>74</v>
      </c>
      <c r="BQ123" t="s">
        <v>74</v>
      </c>
      <c r="BR123" t="s">
        <v>99</v>
      </c>
      <c r="BS123" t="s">
        <v>2206</v>
      </c>
      <c r="BT123" t="str">
        <f>HYPERLINK("https%3A%2F%2Fwww.webofscience.com%2Fwos%2Fwoscc%2Ffull-record%2FWOS:000220216600006","View Full Record in Web of Science")</f>
        <v>View Full Record in Web of Science</v>
      </c>
    </row>
    <row r="124" spans="1:72" x14ac:dyDescent="0.15">
      <c r="A124" t="s">
        <v>72</v>
      </c>
      <c r="B124" t="s">
        <v>2207</v>
      </c>
      <c r="C124" t="s">
        <v>74</v>
      </c>
      <c r="D124" t="s">
        <v>74</v>
      </c>
      <c r="E124" t="s">
        <v>74</v>
      </c>
      <c r="F124" t="s">
        <v>2207</v>
      </c>
      <c r="G124" t="s">
        <v>74</v>
      </c>
      <c r="H124" t="s">
        <v>74</v>
      </c>
      <c r="I124" t="s">
        <v>2208</v>
      </c>
      <c r="J124" t="s">
        <v>419</v>
      </c>
      <c r="K124" t="s">
        <v>74</v>
      </c>
      <c r="L124" t="s">
        <v>74</v>
      </c>
      <c r="M124" t="s">
        <v>77</v>
      </c>
      <c r="N124" t="s">
        <v>78</v>
      </c>
      <c r="O124" t="s">
        <v>74</v>
      </c>
      <c r="P124" t="s">
        <v>74</v>
      </c>
      <c r="Q124" t="s">
        <v>74</v>
      </c>
      <c r="R124" t="s">
        <v>74</v>
      </c>
      <c r="S124" t="s">
        <v>74</v>
      </c>
      <c r="T124" t="s">
        <v>2209</v>
      </c>
      <c r="U124" t="s">
        <v>2210</v>
      </c>
      <c r="V124" t="s">
        <v>2211</v>
      </c>
      <c r="W124" t="s">
        <v>2212</v>
      </c>
      <c r="X124" t="s">
        <v>2213</v>
      </c>
      <c r="Y124" t="s">
        <v>2214</v>
      </c>
      <c r="Z124" t="s">
        <v>2215</v>
      </c>
      <c r="AA124" t="s">
        <v>74</v>
      </c>
      <c r="AB124" t="s">
        <v>74</v>
      </c>
      <c r="AC124" t="s">
        <v>74</v>
      </c>
      <c r="AD124" t="s">
        <v>74</v>
      </c>
      <c r="AE124" t="s">
        <v>74</v>
      </c>
      <c r="AF124" t="s">
        <v>74</v>
      </c>
      <c r="AG124">
        <v>37</v>
      </c>
      <c r="AH124">
        <v>9</v>
      </c>
      <c r="AI124">
        <v>10</v>
      </c>
      <c r="AJ124">
        <v>0</v>
      </c>
      <c r="AK124">
        <v>5</v>
      </c>
      <c r="AL124" t="s">
        <v>363</v>
      </c>
      <c r="AM124" t="s">
        <v>364</v>
      </c>
      <c r="AN124" t="s">
        <v>365</v>
      </c>
      <c r="AO124" t="s">
        <v>429</v>
      </c>
      <c r="AP124" t="s">
        <v>74</v>
      </c>
      <c r="AQ124" t="s">
        <v>74</v>
      </c>
      <c r="AR124" t="s">
        <v>431</v>
      </c>
      <c r="AS124" t="s">
        <v>432</v>
      </c>
      <c r="AT124" t="s">
        <v>2216</v>
      </c>
      <c r="AU124">
        <v>2004</v>
      </c>
      <c r="AV124">
        <v>109</v>
      </c>
      <c r="AW124" t="s">
        <v>2202</v>
      </c>
      <c r="AX124" t="s">
        <v>74</v>
      </c>
      <c r="AY124" t="s">
        <v>74</v>
      </c>
      <c r="AZ124" t="s">
        <v>74</v>
      </c>
      <c r="BA124" t="s">
        <v>74</v>
      </c>
      <c r="BB124" t="s">
        <v>74</v>
      </c>
      <c r="BC124" t="s">
        <v>74</v>
      </c>
      <c r="BD124" t="s">
        <v>2217</v>
      </c>
      <c r="BE124" t="s">
        <v>2218</v>
      </c>
      <c r="BF124" t="str">
        <f>HYPERLINK("http://dx.doi.org/10.1029/2003JD003979","http://dx.doi.org/10.1029/2003JD003979")</f>
        <v>http://dx.doi.org/10.1029/2003JD003979</v>
      </c>
      <c r="BG124" t="s">
        <v>74</v>
      </c>
      <c r="BH124" t="s">
        <v>74</v>
      </c>
      <c r="BI124">
        <v>11</v>
      </c>
      <c r="BJ124" t="s">
        <v>186</v>
      </c>
      <c r="BK124" t="s">
        <v>96</v>
      </c>
      <c r="BL124" t="s">
        <v>186</v>
      </c>
      <c r="BM124" t="s">
        <v>2219</v>
      </c>
      <c r="BN124" t="s">
        <v>74</v>
      </c>
      <c r="BO124" t="s">
        <v>74</v>
      </c>
      <c r="BP124" t="s">
        <v>74</v>
      </c>
      <c r="BQ124" t="s">
        <v>74</v>
      </c>
      <c r="BR124" t="s">
        <v>99</v>
      </c>
      <c r="BS124" t="s">
        <v>2220</v>
      </c>
      <c r="BT124" t="str">
        <f>HYPERLINK("https%3A%2F%2Fwww.webofscience.com%2Fwos%2Fwoscc%2Ffull-record%2FWOS:000189373800005","View Full Record in Web of Science")</f>
        <v>View Full Record in Web of Science</v>
      </c>
    </row>
    <row r="125" spans="1:72" x14ac:dyDescent="0.15">
      <c r="A125" t="s">
        <v>72</v>
      </c>
      <c r="B125" t="s">
        <v>2221</v>
      </c>
      <c r="C125" t="s">
        <v>74</v>
      </c>
      <c r="D125" t="s">
        <v>74</v>
      </c>
      <c r="E125" t="s">
        <v>74</v>
      </c>
      <c r="F125" t="s">
        <v>2221</v>
      </c>
      <c r="G125" t="s">
        <v>74</v>
      </c>
      <c r="H125" t="s">
        <v>74</v>
      </c>
      <c r="I125" t="s">
        <v>2222</v>
      </c>
      <c r="J125" t="s">
        <v>419</v>
      </c>
      <c r="K125" t="s">
        <v>74</v>
      </c>
      <c r="L125" t="s">
        <v>74</v>
      </c>
      <c r="M125" t="s">
        <v>77</v>
      </c>
      <c r="N125" t="s">
        <v>78</v>
      </c>
      <c r="O125" t="s">
        <v>74</v>
      </c>
      <c r="P125" t="s">
        <v>74</v>
      </c>
      <c r="Q125" t="s">
        <v>74</v>
      </c>
      <c r="R125" t="s">
        <v>74</v>
      </c>
      <c r="S125" t="s">
        <v>74</v>
      </c>
      <c r="T125" t="s">
        <v>2223</v>
      </c>
      <c r="U125" t="s">
        <v>2224</v>
      </c>
      <c r="V125" t="s">
        <v>2225</v>
      </c>
      <c r="W125" t="s">
        <v>2226</v>
      </c>
      <c r="X125" t="s">
        <v>2227</v>
      </c>
      <c r="Y125" t="s">
        <v>2228</v>
      </c>
      <c r="Z125" t="s">
        <v>2229</v>
      </c>
      <c r="AA125" t="s">
        <v>74</v>
      </c>
      <c r="AB125" t="s">
        <v>2230</v>
      </c>
      <c r="AC125" t="s">
        <v>74</v>
      </c>
      <c r="AD125" t="s">
        <v>74</v>
      </c>
      <c r="AE125" t="s">
        <v>74</v>
      </c>
      <c r="AF125" t="s">
        <v>74</v>
      </c>
      <c r="AG125">
        <v>32</v>
      </c>
      <c r="AH125">
        <v>17</v>
      </c>
      <c r="AI125">
        <v>20</v>
      </c>
      <c r="AJ125">
        <v>0</v>
      </c>
      <c r="AK125">
        <v>13</v>
      </c>
      <c r="AL125" t="s">
        <v>363</v>
      </c>
      <c r="AM125" t="s">
        <v>364</v>
      </c>
      <c r="AN125" t="s">
        <v>365</v>
      </c>
      <c r="AO125" t="s">
        <v>429</v>
      </c>
      <c r="AP125" t="s">
        <v>430</v>
      </c>
      <c r="AQ125" t="s">
        <v>74</v>
      </c>
      <c r="AR125" t="s">
        <v>431</v>
      </c>
      <c r="AS125" t="s">
        <v>432</v>
      </c>
      <c r="AT125" t="s">
        <v>2216</v>
      </c>
      <c r="AU125">
        <v>2004</v>
      </c>
      <c r="AV125">
        <v>109</v>
      </c>
      <c r="AW125" t="s">
        <v>2202</v>
      </c>
      <c r="AX125" t="s">
        <v>74</v>
      </c>
      <c r="AY125" t="s">
        <v>74</v>
      </c>
      <c r="AZ125" t="s">
        <v>74</v>
      </c>
      <c r="BA125" t="s">
        <v>74</v>
      </c>
      <c r="BB125" t="s">
        <v>74</v>
      </c>
      <c r="BC125" t="s">
        <v>74</v>
      </c>
      <c r="BD125" t="s">
        <v>2231</v>
      </c>
      <c r="BE125" t="s">
        <v>2232</v>
      </c>
      <c r="BF125" t="str">
        <f>HYPERLINK("http://dx.doi.org/10.1029/2003JD004178","http://dx.doi.org/10.1029/2003JD004178")</f>
        <v>http://dx.doi.org/10.1029/2003JD004178</v>
      </c>
      <c r="BG125" t="s">
        <v>74</v>
      </c>
      <c r="BH125" t="s">
        <v>74</v>
      </c>
      <c r="BI125">
        <v>32</v>
      </c>
      <c r="BJ125" t="s">
        <v>186</v>
      </c>
      <c r="BK125" t="s">
        <v>96</v>
      </c>
      <c r="BL125" t="s">
        <v>186</v>
      </c>
      <c r="BM125" t="s">
        <v>2219</v>
      </c>
      <c r="BN125" t="s">
        <v>74</v>
      </c>
      <c r="BO125" t="s">
        <v>541</v>
      </c>
      <c r="BP125" t="s">
        <v>74</v>
      </c>
      <c r="BQ125" t="s">
        <v>74</v>
      </c>
      <c r="BR125" t="s">
        <v>99</v>
      </c>
      <c r="BS125" t="s">
        <v>2233</v>
      </c>
      <c r="BT125" t="str">
        <f>HYPERLINK("https%3A%2F%2Fwww.webofscience.com%2Fwos%2Fwoscc%2Ffull-record%2FWOS:000189373800008","View Full Record in Web of Science")</f>
        <v>View Full Record in Web of Science</v>
      </c>
    </row>
    <row r="126" spans="1:72" x14ac:dyDescent="0.15">
      <c r="A126" t="s">
        <v>72</v>
      </c>
      <c r="B126" t="s">
        <v>2234</v>
      </c>
      <c r="C126" t="s">
        <v>74</v>
      </c>
      <c r="D126" t="s">
        <v>74</v>
      </c>
      <c r="E126" t="s">
        <v>74</v>
      </c>
      <c r="F126" t="s">
        <v>2234</v>
      </c>
      <c r="G126" t="s">
        <v>74</v>
      </c>
      <c r="H126" t="s">
        <v>74</v>
      </c>
      <c r="I126" t="s">
        <v>2235</v>
      </c>
      <c r="J126" t="s">
        <v>1073</v>
      </c>
      <c r="K126" t="s">
        <v>74</v>
      </c>
      <c r="L126" t="s">
        <v>74</v>
      </c>
      <c r="M126" t="s">
        <v>77</v>
      </c>
      <c r="N126" t="s">
        <v>78</v>
      </c>
      <c r="O126" t="s">
        <v>74</v>
      </c>
      <c r="P126" t="s">
        <v>74</v>
      </c>
      <c r="Q126" t="s">
        <v>74</v>
      </c>
      <c r="R126" t="s">
        <v>74</v>
      </c>
      <c r="S126" t="s">
        <v>74</v>
      </c>
      <c r="T126" t="s">
        <v>74</v>
      </c>
      <c r="U126" t="s">
        <v>2236</v>
      </c>
      <c r="V126" t="s">
        <v>2237</v>
      </c>
      <c r="W126" t="s">
        <v>2238</v>
      </c>
      <c r="X126" t="s">
        <v>1562</v>
      </c>
      <c r="Y126" t="s">
        <v>2239</v>
      </c>
      <c r="Z126" t="s">
        <v>2240</v>
      </c>
      <c r="AA126" t="s">
        <v>74</v>
      </c>
      <c r="AB126" t="s">
        <v>2241</v>
      </c>
      <c r="AC126" t="s">
        <v>74</v>
      </c>
      <c r="AD126" t="s">
        <v>74</v>
      </c>
      <c r="AE126" t="s">
        <v>74</v>
      </c>
      <c r="AF126" t="s">
        <v>74</v>
      </c>
      <c r="AG126">
        <v>53</v>
      </c>
      <c r="AH126">
        <v>8</v>
      </c>
      <c r="AI126">
        <v>9</v>
      </c>
      <c r="AJ126">
        <v>0</v>
      </c>
      <c r="AK126">
        <v>4</v>
      </c>
      <c r="AL126" t="s">
        <v>1082</v>
      </c>
      <c r="AM126" t="s">
        <v>364</v>
      </c>
      <c r="AN126" t="s">
        <v>1083</v>
      </c>
      <c r="AO126" t="s">
        <v>1084</v>
      </c>
      <c r="AP126" t="s">
        <v>1085</v>
      </c>
      <c r="AQ126" t="s">
        <v>74</v>
      </c>
      <c r="AR126" t="s">
        <v>1086</v>
      </c>
      <c r="AS126" t="s">
        <v>1087</v>
      </c>
      <c r="AT126" t="s">
        <v>2242</v>
      </c>
      <c r="AU126">
        <v>2004</v>
      </c>
      <c r="AV126">
        <v>43</v>
      </c>
      <c r="AW126">
        <v>6</v>
      </c>
      <c r="AX126" t="s">
        <v>74</v>
      </c>
      <c r="AY126" t="s">
        <v>74</v>
      </c>
      <c r="AZ126" t="s">
        <v>74</v>
      </c>
      <c r="BA126" t="s">
        <v>74</v>
      </c>
      <c r="BB126">
        <v>1435</v>
      </c>
      <c r="BC126">
        <v>1449</v>
      </c>
      <c r="BD126" t="s">
        <v>74</v>
      </c>
      <c r="BE126" t="s">
        <v>2243</v>
      </c>
      <c r="BF126" t="str">
        <f>HYPERLINK("http://dx.doi.org/10.1364/AO.43.001435","http://dx.doi.org/10.1364/AO.43.001435")</f>
        <v>http://dx.doi.org/10.1364/AO.43.001435</v>
      </c>
      <c r="BG126" t="s">
        <v>74</v>
      </c>
      <c r="BH126" t="s">
        <v>74</v>
      </c>
      <c r="BI126">
        <v>15</v>
      </c>
      <c r="BJ126" t="s">
        <v>1090</v>
      </c>
      <c r="BK126" t="s">
        <v>96</v>
      </c>
      <c r="BL126" t="s">
        <v>1090</v>
      </c>
      <c r="BM126" t="s">
        <v>2244</v>
      </c>
      <c r="BN126">
        <v>15008551</v>
      </c>
      <c r="BO126" t="s">
        <v>74</v>
      </c>
      <c r="BP126" t="s">
        <v>74</v>
      </c>
      <c r="BQ126" t="s">
        <v>74</v>
      </c>
      <c r="BR126" t="s">
        <v>99</v>
      </c>
      <c r="BS126" t="s">
        <v>2245</v>
      </c>
      <c r="BT126" t="str">
        <f>HYPERLINK("https%3A%2F%2Fwww.webofscience.com%2Fwos%2Fwoscc%2Ffull-record%2FWOS:000189149000032","View Full Record in Web of Science")</f>
        <v>View Full Record in Web of Science</v>
      </c>
    </row>
    <row r="127" spans="1:72" x14ac:dyDescent="0.15">
      <c r="A127" t="s">
        <v>72</v>
      </c>
      <c r="B127" t="s">
        <v>2246</v>
      </c>
      <c r="C127" t="s">
        <v>74</v>
      </c>
      <c r="D127" t="s">
        <v>74</v>
      </c>
      <c r="E127" t="s">
        <v>74</v>
      </c>
      <c r="F127" t="s">
        <v>2246</v>
      </c>
      <c r="G127" t="s">
        <v>74</v>
      </c>
      <c r="H127" t="s">
        <v>74</v>
      </c>
      <c r="I127" t="s">
        <v>2247</v>
      </c>
      <c r="J127" t="s">
        <v>2248</v>
      </c>
      <c r="K127" t="s">
        <v>74</v>
      </c>
      <c r="L127" t="s">
        <v>74</v>
      </c>
      <c r="M127" t="s">
        <v>77</v>
      </c>
      <c r="N127" t="s">
        <v>822</v>
      </c>
      <c r="O127" t="s">
        <v>74</v>
      </c>
      <c r="P127" t="s">
        <v>74</v>
      </c>
      <c r="Q127" t="s">
        <v>74</v>
      </c>
      <c r="R127" t="s">
        <v>74</v>
      </c>
      <c r="S127" t="s">
        <v>74</v>
      </c>
      <c r="T127" t="s">
        <v>2249</v>
      </c>
      <c r="U127" t="s">
        <v>2250</v>
      </c>
      <c r="V127" t="s">
        <v>74</v>
      </c>
      <c r="W127" t="s">
        <v>2251</v>
      </c>
      <c r="X127" t="s">
        <v>2252</v>
      </c>
      <c r="Y127" t="s">
        <v>1343</v>
      </c>
      <c r="Z127" t="s">
        <v>1344</v>
      </c>
      <c r="AA127" t="s">
        <v>2253</v>
      </c>
      <c r="AB127" t="s">
        <v>2254</v>
      </c>
      <c r="AC127" t="s">
        <v>74</v>
      </c>
      <c r="AD127" t="s">
        <v>74</v>
      </c>
      <c r="AE127" t="s">
        <v>74</v>
      </c>
      <c r="AF127" t="s">
        <v>74</v>
      </c>
      <c r="AG127">
        <v>14</v>
      </c>
      <c r="AH127">
        <v>9</v>
      </c>
      <c r="AI127">
        <v>10</v>
      </c>
      <c r="AJ127">
        <v>1</v>
      </c>
      <c r="AK127">
        <v>12</v>
      </c>
      <c r="AL127" t="s">
        <v>363</v>
      </c>
      <c r="AM127" t="s">
        <v>364</v>
      </c>
      <c r="AN127" t="s">
        <v>365</v>
      </c>
      <c r="AO127" t="s">
        <v>2255</v>
      </c>
      <c r="AP127" t="s">
        <v>2256</v>
      </c>
      <c r="AQ127" t="s">
        <v>74</v>
      </c>
      <c r="AR127" t="s">
        <v>2257</v>
      </c>
      <c r="AS127" t="s">
        <v>2258</v>
      </c>
      <c r="AT127" t="s">
        <v>2259</v>
      </c>
      <c r="AU127">
        <v>2004</v>
      </c>
      <c r="AV127">
        <v>109</v>
      </c>
      <c r="AW127" t="s">
        <v>2260</v>
      </c>
      <c r="AX127" t="s">
        <v>74</v>
      </c>
      <c r="AY127" t="s">
        <v>74</v>
      </c>
      <c r="AZ127" t="s">
        <v>74</v>
      </c>
      <c r="BA127" t="s">
        <v>74</v>
      </c>
      <c r="BB127" t="s">
        <v>74</v>
      </c>
      <c r="BC127" t="s">
        <v>74</v>
      </c>
      <c r="BD127" t="s">
        <v>2261</v>
      </c>
      <c r="BE127" t="s">
        <v>2262</v>
      </c>
      <c r="BF127" t="str">
        <f>HYPERLINK("http://dx.doi.org/10.1029/2003JE002176","http://dx.doi.org/10.1029/2003JE002176")</f>
        <v>http://dx.doi.org/10.1029/2003JE002176</v>
      </c>
      <c r="BG127" t="s">
        <v>74</v>
      </c>
      <c r="BH127" t="s">
        <v>74</v>
      </c>
      <c r="BI127">
        <v>3</v>
      </c>
      <c r="BJ127" t="s">
        <v>262</v>
      </c>
      <c r="BK127" t="s">
        <v>96</v>
      </c>
      <c r="BL127" t="s">
        <v>262</v>
      </c>
      <c r="BM127" t="s">
        <v>2263</v>
      </c>
      <c r="BN127" t="s">
        <v>74</v>
      </c>
      <c r="BO127" t="s">
        <v>479</v>
      </c>
      <c r="BP127" t="s">
        <v>74</v>
      </c>
      <c r="BQ127" t="s">
        <v>74</v>
      </c>
      <c r="BR127" t="s">
        <v>99</v>
      </c>
      <c r="BS127" t="s">
        <v>2264</v>
      </c>
      <c r="BT127" t="str">
        <f>HYPERLINK("https%3A%2F%2Fwww.webofscience.com%2Fwos%2Fwoscc%2Ffull-record%2FWOS:000189374400004","View Full Record in Web of Science")</f>
        <v>View Full Record in Web of Science</v>
      </c>
    </row>
    <row r="128" spans="1:72" x14ac:dyDescent="0.15">
      <c r="A128" t="s">
        <v>72</v>
      </c>
      <c r="B128" t="s">
        <v>2265</v>
      </c>
      <c r="C128" t="s">
        <v>74</v>
      </c>
      <c r="D128" t="s">
        <v>74</v>
      </c>
      <c r="E128" t="s">
        <v>74</v>
      </c>
      <c r="F128" t="s">
        <v>2265</v>
      </c>
      <c r="G128" t="s">
        <v>74</v>
      </c>
      <c r="H128" t="s">
        <v>74</v>
      </c>
      <c r="I128" t="s">
        <v>2266</v>
      </c>
      <c r="J128" t="s">
        <v>2267</v>
      </c>
      <c r="K128" t="s">
        <v>74</v>
      </c>
      <c r="L128" t="s">
        <v>74</v>
      </c>
      <c r="M128" t="s">
        <v>77</v>
      </c>
      <c r="N128" t="s">
        <v>78</v>
      </c>
      <c r="O128" t="s">
        <v>74</v>
      </c>
      <c r="P128" t="s">
        <v>74</v>
      </c>
      <c r="Q128" t="s">
        <v>74</v>
      </c>
      <c r="R128" t="s">
        <v>74</v>
      </c>
      <c r="S128" t="s">
        <v>74</v>
      </c>
      <c r="T128" t="s">
        <v>74</v>
      </c>
      <c r="U128" t="s">
        <v>2268</v>
      </c>
      <c r="V128" t="s">
        <v>2269</v>
      </c>
      <c r="W128" t="s">
        <v>2270</v>
      </c>
      <c r="X128" t="s">
        <v>2271</v>
      </c>
      <c r="Y128" t="s">
        <v>2272</v>
      </c>
      <c r="Z128" t="s">
        <v>2273</v>
      </c>
      <c r="AA128" t="s">
        <v>2274</v>
      </c>
      <c r="AB128" t="s">
        <v>2275</v>
      </c>
      <c r="AC128" t="s">
        <v>74</v>
      </c>
      <c r="AD128" t="s">
        <v>74</v>
      </c>
      <c r="AE128" t="s">
        <v>74</v>
      </c>
      <c r="AF128" t="s">
        <v>74</v>
      </c>
      <c r="AG128">
        <v>29</v>
      </c>
      <c r="AH128">
        <v>208</v>
      </c>
      <c r="AI128">
        <v>237</v>
      </c>
      <c r="AJ128">
        <v>3</v>
      </c>
      <c r="AK128">
        <v>78</v>
      </c>
      <c r="AL128" t="s">
        <v>2276</v>
      </c>
      <c r="AM128" t="s">
        <v>1417</v>
      </c>
      <c r="AN128" t="s">
        <v>2277</v>
      </c>
      <c r="AO128" t="s">
        <v>2278</v>
      </c>
      <c r="AP128" t="s">
        <v>74</v>
      </c>
      <c r="AQ128" t="s">
        <v>74</v>
      </c>
      <c r="AR128" t="s">
        <v>2267</v>
      </c>
      <c r="AS128" t="s">
        <v>2279</v>
      </c>
      <c r="AT128" t="s">
        <v>2259</v>
      </c>
      <c r="AU128">
        <v>2004</v>
      </c>
      <c r="AV128">
        <v>427</v>
      </c>
      <c r="AW128">
        <v>6976</v>
      </c>
      <c r="AX128" t="s">
        <v>74</v>
      </c>
      <c r="AY128" t="s">
        <v>74</v>
      </c>
      <c r="AZ128" t="s">
        <v>74</v>
      </c>
      <c r="BA128" t="s">
        <v>74</v>
      </c>
      <c r="BB128">
        <v>727</v>
      </c>
      <c r="BC128">
        <v>730</v>
      </c>
      <c r="BD128" t="s">
        <v>74</v>
      </c>
      <c r="BE128" t="s">
        <v>2280</v>
      </c>
      <c r="BF128" t="str">
        <f>HYPERLINK("http://dx.doi.org/10.1038/nature02315","http://dx.doi.org/10.1038/nature02315")</f>
        <v>http://dx.doi.org/10.1038/nature02315</v>
      </c>
      <c r="BG128" t="s">
        <v>74</v>
      </c>
      <c r="BH128" t="s">
        <v>74</v>
      </c>
      <c r="BI128">
        <v>4</v>
      </c>
      <c r="BJ128" t="s">
        <v>454</v>
      </c>
      <c r="BK128" t="s">
        <v>96</v>
      </c>
      <c r="BL128" t="s">
        <v>455</v>
      </c>
      <c r="BM128" t="s">
        <v>2281</v>
      </c>
      <c r="BN128">
        <v>14973483</v>
      </c>
      <c r="BO128" t="s">
        <v>74</v>
      </c>
      <c r="BP128" t="s">
        <v>74</v>
      </c>
      <c r="BQ128" t="s">
        <v>74</v>
      </c>
      <c r="BR128" t="s">
        <v>99</v>
      </c>
      <c r="BS128" t="s">
        <v>2282</v>
      </c>
      <c r="BT128" t="str">
        <f>HYPERLINK("https%3A%2F%2Fwww.webofscience.com%2Fwos%2Fwoscc%2Ffull-record%2FWOS:000189026000041","View Full Record in Web of Science")</f>
        <v>View Full Record in Web of Science</v>
      </c>
    </row>
    <row r="129" spans="1:72" x14ac:dyDescent="0.15">
      <c r="A129" t="s">
        <v>72</v>
      </c>
      <c r="B129" t="s">
        <v>2283</v>
      </c>
      <c r="C129" t="s">
        <v>74</v>
      </c>
      <c r="D129" t="s">
        <v>74</v>
      </c>
      <c r="E129" t="s">
        <v>74</v>
      </c>
      <c r="F129" t="s">
        <v>2283</v>
      </c>
      <c r="G129" t="s">
        <v>74</v>
      </c>
      <c r="H129" t="s">
        <v>74</v>
      </c>
      <c r="I129" t="s">
        <v>2284</v>
      </c>
      <c r="J129" t="s">
        <v>460</v>
      </c>
      <c r="K129" t="s">
        <v>74</v>
      </c>
      <c r="L129" t="s">
        <v>74</v>
      </c>
      <c r="M129" t="s">
        <v>77</v>
      </c>
      <c r="N129" t="s">
        <v>78</v>
      </c>
      <c r="O129" t="s">
        <v>74</v>
      </c>
      <c r="P129" t="s">
        <v>74</v>
      </c>
      <c r="Q129" t="s">
        <v>74</v>
      </c>
      <c r="R129" t="s">
        <v>74</v>
      </c>
      <c r="S129" t="s">
        <v>74</v>
      </c>
      <c r="T129" t="s">
        <v>2285</v>
      </c>
      <c r="U129" t="s">
        <v>2286</v>
      </c>
      <c r="V129" t="s">
        <v>2287</v>
      </c>
      <c r="W129" t="s">
        <v>2288</v>
      </c>
      <c r="X129" t="s">
        <v>2289</v>
      </c>
      <c r="Y129" t="s">
        <v>2290</v>
      </c>
      <c r="Z129" t="s">
        <v>2291</v>
      </c>
      <c r="AA129" t="s">
        <v>2292</v>
      </c>
      <c r="AB129" t="s">
        <v>2293</v>
      </c>
      <c r="AC129" t="s">
        <v>74</v>
      </c>
      <c r="AD129" t="s">
        <v>74</v>
      </c>
      <c r="AE129" t="s">
        <v>74</v>
      </c>
      <c r="AF129" t="s">
        <v>74</v>
      </c>
      <c r="AG129">
        <v>43</v>
      </c>
      <c r="AH129">
        <v>188</v>
      </c>
      <c r="AI129">
        <v>208</v>
      </c>
      <c r="AJ129">
        <v>1</v>
      </c>
      <c r="AK129">
        <v>30</v>
      </c>
      <c r="AL129" t="s">
        <v>363</v>
      </c>
      <c r="AM129" t="s">
        <v>364</v>
      </c>
      <c r="AN129" t="s">
        <v>365</v>
      </c>
      <c r="AO129" t="s">
        <v>470</v>
      </c>
      <c r="AP129" t="s">
        <v>471</v>
      </c>
      <c r="AQ129" t="s">
        <v>74</v>
      </c>
      <c r="AR129" t="s">
        <v>472</v>
      </c>
      <c r="AS129" t="s">
        <v>473</v>
      </c>
      <c r="AT129" t="s">
        <v>2294</v>
      </c>
      <c r="AU129">
        <v>2004</v>
      </c>
      <c r="AV129">
        <v>109</v>
      </c>
      <c r="AW129" t="s">
        <v>2295</v>
      </c>
      <c r="AX129" t="s">
        <v>74</v>
      </c>
      <c r="AY129" t="s">
        <v>74</v>
      </c>
      <c r="AZ129" t="s">
        <v>74</v>
      </c>
      <c r="BA129" t="s">
        <v>74</v>
      </c>
      <c r="BB129" t="s">
        <v>74</v>
      </c>
      <c r="BC129" t="s">
        <v>74</v>
      </c>
      <c r="BD129" t="s">
        <v>2296</v>
      </c>
      <c r="BE129" t="s">
        <v>2297</v>
      </c>
      <c r="BF129" t="str">
        <f>HYPERLINK("http://dx.doi.org/10.1029/2003JC002008","http://dx.doi.org/10.1029/2003JC002008")</f>
        <v>http://dx.doi.org/10.1029/2003JC002008</v>
      </c>
      <c r="BG129" t="s">
        <v>74</v>
      </c>
      <c r="BH129" t="s">
        <v>74</v>
      </c>
      <c r="BI129">
        <v>15</v>
      </c>
      <c r="BJ129" t="s">
        <v>477</v>
      </c>
      <c r="BK129" t="s">
        <v>96</v>
      </c>
      <c r="BL129" t="s">
        <v>477</v>
      </c>
      <c r="BM129" t="s">
        <v>2298</v>
      </c>
      <c r="BN129" t="s">
        <v>74</v>
      </c>
      <c r="BO129" t="s">
        <v>541</v>
      </c>
      <c r="BP129" t="s">
        <v>74</v>
      </c>
      <c r="BQ129" t="s">
        <v>74</v>
      </c>
      <c r="BR129" t="s">
        <v>99</v>
      </c>
      <c r="BS129" t="s">
        <v>2299</v>
      </c>
      <c r="BT129" t="str">
        <f>HYPERLINK("https%3A%2F%2Fwww.webofscience.com%2Fwos%2Fwoscc%2Ffull-record%2FWOS:000189373900001","View Full Record in Web of Science")</f>
        <v>View Full Record in Web of Science</v>
      </c>
    </row>
    <row r="130" spans="1:72" x14ac:dyDescent="0.15">
      <c r="A130" t="s">
        <v>72</v>
      </c>
      <c r="B130" t="s">
        <v>2300</v>
      </c>
      <c r="C130" t="s">
        <v>74</v>
      </c>
      <c r="D130" t="s">
        <v>74</v>
      </c>
      <c r="E130" t="s">
        <v>74</v>
      </c>
      <c r="F130" t="s">
        <v>2300</v>
      </c>
      <c r="G130" t="s">
        <v>74</v>
      </c>
      <c r="H130" t="s">
        <v>74</v>
      </c>
      <c r="I130" t="s">
        <v>2301</v>
      </c>
      <c r="J130" t="s">
        <v>2302</v>
      </c>
      <c r="K130" t="s">
        <v>74</v>
      </c>
      <c r="L130" t="s">
        <v>74</v>
      </c>
      <c r="M130" t="s">
        <v>77</v>
      </c>
      <c r="N130" t="s">
        <v>78</v>
      </c>
      <c r="O130" t="s">
        <v>74</v>
      </c>
      <c r="P130" t="s">
        <v>74</v>
      </c>
      <c r="Q130" t="s">
        <v>74</v>
      </c>
      <c r="R130" t="s">
        <v>74</v>
      </c>
      <c r="S130" t="s">
        <v>74</v>
      </c>
      <c r="T130" t="s">
        <v>74</v>
      </c>
      <c r="U130" t="s">
        <v>2303</v>
      </c>
      <c r="V130" t="s">
        <v>2304</v>
      </c>
      <c r="W130" t="s">
        <v>2305</v>
      </c>
      <c r="X130" t="s">
        <v>2306</v>
      </c>
      <c r="Y130" t="s">
        <v>2307</v>
      </c>
      <c r="Z130" t="s">
        <v>2308</v>
      </c>
      <c r="AA130" t="s">
        <v>2309</v>
      </c>
      <c r="AB130" t="s">
        <v>2310</v>
      </c>
      <c r="AC130" t="s">
        <v>74</v>
      </c>
      <c r="AD130" t="s">
        <v>74</v>
      </c>
      <c r="AE130" t="s">
        <v>74</v>
      </c>
      <c r="AF130" t="s">
        <v>74</v>
      </c>
      <c r="AG130">
        <v>22</v>
      </c>
      <c r="AH130">
        <v>15</v>
      </c>
      <c r="AI130">
        <v>16</v>
      </c>
      <c r="AJ130">
        <v>0</v>
      </c>
      <c r="AK130">
        <v>7</v>
      </c>
      <c r="AL130" t="s">
        <v>528</v>
      </c>
      <c r="AM130" t="s">
        <v>529</v>
      </c>
      <c r="AN130" t="s">
        <v>530</v>
      </c>
      <c r="AO130" t="s">
        <v>2311</v>
      </c>
      <c r="AP130" t="s">
        <v>2312</v>
      </c>
      <c r="AQ130" t="s">
        <v>74</v>
      </c>
      <c r="AR130" t="s">
        <v>2313</v>
      </c>
      <c r="AS130" t="s">
        <v>2314</v>
      </c>
      <c r="AT130" t="s">
        <v>2315</v>
      </c>
      <c r="AU130">
        <v>2004</v>
      </c>
      <c r="AV130">
        <v>385</v>
      </c>
      <c r="AW130" t="s">
        <v>1800</v>
      </c>
      <c r="AX130" t="s">
        <v>74</v>
      </c>
      <c r="AY130" t="s">
        <v>74</v>
      </c>
      <c r="AZ130" t="s">
        <v>74</v>
      </c>
      <c r="BA130" t="s">
        <v>74</v>
      </c>
      <c r="BB130">
        <v>441</v>
      </c>
      <c r="BC130">
        <v>445</v>
      </c>
      <c r="BD130" t="s">
        <v>74</v>
      </c>
      <c r="BE130" t="s">
        <v>2316</v>
      </c>
      <c r="BF130" t="str">
        <f>HYPERLINK("http://dx.doi.org/10.1016/j.cplett.2004.01.025","http://dx.doi.org/10.1016/j.cplett.2004.01.025")</f>
        <v>http://dx.doi.org/10.1016/j.cplett.2004.01.025</v>
      </c>
      <c r="BG130" t="s">
        <v>74</v>
      </c>
      <c r="BH130" t="s">
        <v>74</v>
      </c>
      <c r="BI130">
        <v>5</v>
      </c>
      <c r="BJ130" t="s">
        <v>2317</v>
      </c>
      <c r="BK130" t="s">
        <v>96</v>
      </c>
      <c r="BL130" t="s">
        <v>2318</v>
      </c>
      <c r="BM130" t="s">
        <v>2319</v>
      </c>
      <c r="BN130" t="s">
        <v>74</v>
      </c>
      <c r="BO130" t="s">
        <v>74</v>
      </c>
      <c r="BP130" t="s">
        <v>74</v>
      </c>
      <c r="BQ130" t="s">
        <v>74</v>
      </c>
      <c r="BR130" t="s">
        <v>99</v>
      </c>
      <c r="BS130" t="s">
        <v>2320</v>
      </c>
      <c r="BT130" t="str">
        <f>HYPERLINK("https%3A%2F%2Fwww.webofscience.com%2Fwos%2Fwoscc%2Ffull-record%2FWOS:000189087800019","View Full Record in Web of Science")</f>
        <v>View Full Record in Web of Science</v>
      </c>
    </row>
    <row r="131" spans="1:72" x14ac:dyDescent="0.15">
      <c r="A131" t="s">
        <v>72</v>
      </c>
      <c r="B131" t="s">
        <v>2321</v>
      </c>
      <c r="C131" t="s">
        <v>74</v>
      </c>
      <c r="D131" t="s">
        <v>74</v>
      </c>
      <c r="E131" t="s">
        <v>74</v>
      </c>
      <c r="F131" t="s">
        <v>2321</v>
      </c>
      <c r="G131" t="s">
        <v>74</v>
      </c>
      <c r="H131" t="s">
        <v>74</v>
      </c>
      <c r="I131" t="s">
        <v>2322</v>
      </c>
      <c r="J131" t="s">
        <v>2302</v>
      </c>
      <c r="K131" t="s">
        <v>74</v>
      </c>
      <c r="L131" t="s">
        <v>74</v>
      </c>
      <c r="M131" t="s">
        <v>77</v>
      </c>
      <c r="N131" t="s">
        <v>78</v>
      </c>
      <c r="O131" t="s">
        <v>74</v>
      </c>
      <c r="P131" t="s">
        <v>74</v>
      </c>
      <c r="Q131" t="s">
        <v>74</v>
      </c>
      <c r="R131" t="s">
        <v>74</v>
      </c>
      <c r="S131" t="s">
        <v>74</v>
      </c>
      <c r="T131" t="s">
        <v>74</v>
      </c>
      <c r="U131" t="s">
        <v>2323</v>
      </c>
      <c r="V131" t="s">
        <v>2324</v>
      </c>
      <c r="W131" t="s">
        <v>2325</v>
      </c>
      <c r="X131" t="s">
        <v>2326</v>
      </c>
      <c r="Y131" t="s">
        <v>2327</v>
      </c>
      <c r="Z131" t="s">
        <v>2328</v>
      </c>
      <c r="AA131" t="s">
        <v>2329</v>
      </c>
      <c r="AB131" t="s">
        <v>2330</v>
      </c>
      <c r="AC131" t="s">
        <v>74</v>
      </c>
      <c r="AD131" t="s">
        <v>74</v>
      </c>
      <c r="AE131" t="s">
        <v>74</v>
      </c>
      <c r="AF131" t="s">
        <v>74</v>
      </c>
      <c r="AG131">
        <v>24</v>
      </c>
      <c r="AH131">
        <v>19</v>
      </c>
      <c r="AI131">
        <v>20</v>
      </c>
      <c r="AJ131">
        <v>2</v>
      </c>
      <c r="AK131">
        <v>19</v>
      </c>
      <c r="AL131" t="s">
        <v>528</v>
      </c>
      <c r="AM131" t="s">
        <v>529</v>
      </c>
      <c r="AN131" t="s">
        <v>530</v>
      </c>
      <c r="AO131" t="s">
        <v>2311</v>
      </c>
      <c r="AP131" t="s">
        <v>2312</v>
      </c>
      <c r="AQ131" t="s">
        <v>74</v>
      </c>
      <c r="AR131" t="s">
        <v>2313</v>
      </c>
      <c r="AS131" t="s">
        <v>2314</v>
      </c>
      <c r="AT131" t="s">
        <v>2315</v>
      </c>
      <c r="AU131">
        <v>2004</v>
      </c>
      <c r="AV131">
        <v>385</v>
      </c>
      <c r="AW131" t="s">
        <v>1800</v>
      </c>
      <c r="AX131" t="s">
        <v>74</v>
      </c>
      <c r="AY131" t="s">
        <v>74</v>
      </c>
      <c r="AZ131" t="s">
        <v>74</v>
      </c>
      <c r="BA131" t="s">
        <v>74</v>
      </c>
      <c r="BB131">
        <v>467</v>
      </c>
      <c r="BC131">
        <v>471</v>
      </c>
      <c r="BD131" t="s">
        <v>74</v>
      </c>
      <c r="BE131" t="s">
        <v>2331</v>
      </c>
      <c r="BF131" t="str">
        <f>HYPERLINK("http://dx.doi.org/10.1016/j.cplett.2004.01.021","http://dx.doi.org/10.1016/j.cplett.2004.01.021")</f>
        <v>http://dx.doi.org/10.1016/j.cplett.2004.01.021</v>
      </c>
      <c r="BG131" t="s">
        <v>74</v>
      </c>
      <c r="BH131" t="s">
        <v>74</v>
      </c>
      <c r="BI131">
        <v>5</v>
      </c>
      <c r="BJ131" t="s">
        <v>2317</v>
      </c>
      <c r="BK131" t="s">
        <v>96</v>
      </c>
      <c r="BL131" t="s">
        <v>2318</v>
      </c>
      <c r="BM131" t="s">
        <v>2319</v>
      </c>
      <c r="BN131" t="s">
        <v>74</v>
      </c>
      <c r="BO131" t="s">
        <v>74</v>
      </c>
      <c r="BP131" t="s">
        <v>74</v>
      </c>
      <c r="BQ131" t="s">
        <v>74</v>
      </c>
      <c r="BR131" t="s">
        <v>99</v>
      </c>
      <c r="BS131" t="s">
        <v>2332</v>
      </c>
      <c r="BT131" t="str">
        <f>HYPERLINK("https%3A%2F%2Fwww.webofscience.com%2Fwos%2Fwoscc%2Ffull-record%2FWOS:000189087800024","View Full Record in Web of Science")</f>
        <v>View Full Record in Web of Science</v>
      </c>
    </row>
    <row r="132" spans="1:72" x14ac:dyDescent="0.15">
      <c r="A132" t="s">
        <v>72</v>
      </c>
      <c r="B132" t="s">
        <v>2333</v>
      </c>
      <c r="C132" t="s">
        <v>74</v>
      </c>
      <c r="D132" t="s">
        <v>74</v>
      </c>
      <c r="E132" t="s">
        <v>74</v>
      </c>
      <c r="F132" t="s">
        <v>2333</v>
      </c>
      <c r="G132" t="s">
        <v>74</v>
      </c>
      <c r="H132" t="s">
        <v>74</v>
      </c>
      <c r="I132" t="s">
        <v>2334</v>
      </c>
      <c r="J132" t="s">
        <v>2128</v>
      </c>
      <c r="K132" t="s">
        <v>74</v>
      </c>
      <c r="L132" t="s">
        <v>74</v>
      </c>
      <c r="M132" t="s">
        <v>77</v>
      </c>
      <c r="N132" t="s">
        <v>78</v>
      </c>
      <c r="O132" t="s">
        <v>74</v>
      </c>
      <c r="P132" t="s">
        <v>74</v>
      </c>
      <c r="Q132" t="s">
        <v>74</v>
      </c>
      <c r="R132" t="s">
        <v>74</v>
      </c>
      <c r="S132" t="s">
        <v>74</v>
      </c>
      <c r="T132" t="s">
        <v>2335</v>
      </c>
      <c r="U132" t="s">
        <v>2336</v>
      </c>
      <c r="V132" t="s">
        <v>2337</v>
      </c>
      <c r="W132" t="s">
        <v>2338</v>
      </c>
      <c r="X132" t="s">
        <v>2339</v>
      </c>
      <c r="Y132" t="s">
        <v>2340</v>
      </c>
      <c r="Z132" t="s">
        <v>2341</v>
      </c>
      <c r="AA132" t="s">
        <v>2342</v>
      </c>
      <c r="AB132" t="s">
        <v>2343</v>
      </c>
      <c r="AC132" t="s">
        <v>74</v>
      </c>
      <c r="AD132" t="s">
        <v>74</v>
      </c>
      <c r="AE132" t="s">
        <v>74</v>
      </c>
      <c r="AF132" t="s">
        <v>74</v>
      </c>
      <c r="AG132">
        <v>49</v>
      </c>
      <c r="AH132">
        <v>223</v>
      </c>
      <c r="AI132">
        <v>256</v>
      </c>
      <c r="AJ132">
        <v>0</v>
      </c>
      <c r="AK132">
        <v>72</v>
      </c>
      <c r="AL132" t="s">
        <v>685</v>
      </c>
      <c r="AM132" t="s">
        <v>529</v>
      </c>
      <c r="AN132" t="s">
        <v>686</v>
      </c>
      <c r="AO132" t="s">
        <v>2138</v>
      </c>
      <c r="AP132" t="s">
        <v>2139</v>
      </c>
      <c r="AQ132" t="s">
        <v>74</v>
      </c>
      <c r="AR132" t="s">
        <v>2140</v>
      </c>
      <c r="AS132" t="s">
        <v>2141</v>
      </c>
      <c r="AT132" t="s">
        <v>2344</v>
      </c>
      <c r="AU132">
        <v>2004</v>
      </c>
      <c r="AV132">
        <v>218</v>
      </c>
      <c r="AW132" t="s">
        <v>710</v>
      </c>
      <c r="AX132" t="s">
        <v>74</v>
      </c>
      <c r="AY132" t="s">
        <v>74</v>
      </c>
      <c r="AZ132" t="s">
        <v>74</v>
      </c>
      <c r="BA132" t="s">
        <v>74</v>
      </c>
      <c r="BB132">
        <v>363</v>
      </c>
      <c r="BC132">
        <v>377</v>
      </c>
      <c r="BD132" t="s">
        <v>74</v>
      </c>
      <c r="BE132" t="s">
        <v>2345</v>
      </c>
      <c r="BF132" t="str">
        <f>HYPERLINK("http://dx.doi.org/10.1016/S0012-821X(03)00685-X","http://dx.doi.org/10.1016/S0012-821X(03)00685-X")</f>
        <v>http://dx.doi.org/10.1016/S0012-821X(03)00685-X</v>
      </c>
      <c r="BG132" t="s">
        <v>74</v>
      </c>
      <c r="BH132" t="s">
        <v>74</v>
      </c>
      <c r="BI132">
        <v>15</v>
      </c>
      <c r="BJ132" t="s">
        <v>262</v>
      </c>
      <c r="BK132" t="s">
        <v>96</v>
      </c>
      <c r="BL132" t="s">
        <v>262</v>
      </c>
      <c r="BM132" t="s">
        <v>2346</v>
      </c>
      <c r="BN132" t="s">
        <v>74</v>
      </c>
      <c r="BO132" t="s">
        <v>74</v>
      </c>
      <c r="BP132" t="s">
        <v>74</v>
      </c>
      <c r="BQ132" t="s">
        <v>74</v>
      </c>
      <c r="BR132" t="s">
        <v>99</v>
      </c>
      <c r="BS132" t="s">
        <v>2347</v>
      </c>
      <c r="BT132" t="str">
        <f>HYPERLINK("https%3A%2F%2Fwww.webofscience.com%2Fwos%2Fwoscc%2Ffull-record%2FWOS:000188887600010","View Full Record in Web of Science")</f>
        <v>View Full Record in Web of Science</v>
      </c>
    </row>
    <row r="133" spans="1:72" x14ac:dyDescent="0.15">
      <c r="A133" t="s">
        <v>72</v>
      </c>
      <c r="B133" t="s">
        <v>2348</v>
      </c>
      <c r="C133" t="s">
        <v>74</v>
      </c>
      <c r="D133" t="s">
        <v>74</v>
      </c>
      <c r="E133" t="s">
        <v>74</v>
      </c>
      <c r="F133" t="s">
        <v>2348</v>
      </c>
      <c r="G133" t="s">
        <v>74</v>
      </c>
      <c r="H133" t="s">
        <v>74</v>
      </c>
      <c r="I133" t="s">
        <v>2349</v>
      </c>
      <c r="J133" t="s">
        <v>2128</v>
      </c>
      <c r="K133" t="s">
        <v>74</v>
      </c>
      <c r="L133" t="s">
        <v>74</v>
      </c>
      <c r="M133" t="s">
        <v>77</v>
      </c>
      <c r="N133" t="s">
        <v>78</v>
      </c>
      <c r="O133" t="s">
        <v>74</v>
      </c>
      <c r="P133" t="s">
        <v>74</v>
      </c>
      <c r="Q133" t="s">
        <v>74</v>
      </c>
      <c r="R133" t="s">
        <v>74</v>
      </c>
      <c r="S133" t="s">
        <v>74</v>
      </c>
      <c r="T133" t="s">
        <v>2350</v>
      </c>
      <c r="U133" t="s">
        <v>2351</v>
      </c>
      <c r="V133" t="s">
        <v>2352</v>
      </c>
      <c r="W133" t="s">
        <v>2353</v>
      </c>
      <c r="X133" t="s">
        <v>2354</v>
      </c>
      <c r="Y133" t="s">
        <v>2355</v>
      </c>
      <c r="Z133" t="s">
        <v>2356</v>
      </c>
      <c r="AA133" t="s">
        <v>2357</v>
      </c>
      <c r="AB133" t="s">
        <v>2358</v>
      </c>
      <c r="AC133" t="s">
        <v>74</v>
      </c>
      <c r="AD133" t="s">
        <v>74</v>
      </c>
      <c r="AE133" t="s">
        <v>74</v>
      </c>
      <c r="AF133" t="s">
        <v>74</v>
      </c>
      <c r="AG133">
        <v>35</v>
      </c>
      <c r="AH133">
        <v>25</v>
      </c>
      <c r="AI133">
        <v>31</v>
      </c>
      <c r="AJ133">
        <v>1</v>
      </c>
      <c r="AK133">
        <v>14</v>
      </c>
      <c r="AL133" t="s">
        <v>685</v>
      </c>
      <c r="AM133" t="s">
        <v>529</v>
      </c>
      <c r="AN133" t="s">
        <v>686</v>
      </c>
      <c r="AO133" t="s">
        <v>2138</v>
      </c>
      <c r="AP133" t="s">
        <v>2139</v>
      </c>
      <c r="AQ133" t="s">
        <v>74</v>
      </c>
      <c r="AR133" t="s">
        <v>2140</v>
      </c>
      <c r="AS133" t="s">
        <v>2141</v>
      </c>
      <c r="AT133" t="s">
        <v>2344</v>
      </c>
      <c r="AU133">
        <v>2004</v>
      </c>
      <c r="AV133">
        <v>218</v>
      </c>
      <c r="AW133" t="s">
        <v>710</v>
      </c>
      <c r="AX133" t="s">
        <v>74</v>
      </c>
      <c r="AY133" t="s">
        <v>74</v>
      </c>
      <c r="AZ133" t="s">
        <v>74</v>
      </c>
      <c r="BA133" t="s">
        <v>74</v>
      </c>
      <c r="BB133">
        <v>379</v>
      </c>
      <c r="BC133">
        <v>388</v>
      </c>
      <c r="BD133" t="s">
        <v>74</v>
      </c>
      <c r="BE133" t="s">
        <v>2359</v>
      </c>
      <c r="BF133" t="str">
        <f>HYPERLINK("http://dx.doi.org/10.1016/S0012-821X(03)00672-1","http://dx.doi.org/10.1016/S0012-821X(03)00672-1")</f>
        <v>http://dx.doi.org/10.1016/S0012-821X(03)00672-1</v>
      </c>
      <c r="BG133" t="s">
        <v>74</v>
      </c>
      <c r="BH133" t="s">
        <v>74</v>
      </c>
      <c r="BI133">
        <v>10</v>
      </c>
      <c r="BJ133" t="s">
        <v>262</v>
      </c>
      <c r="BK133" t="s">
        <v>96</v>
      </c>
      <c r="BL133" t="s">
        <v>262</v>
      </c>
      <c r="BM133" t="s">
        <v>2346</v>
      </c>
      <c r="BN133" t="s">
        <v>74</v>
      </c>
      <c r="BO133" t="s">
        <v>156</v>
      </c>
      <c r="BP133" t="s">
        <v>74</v>
      </c>
      <c r="BQ133" t="s">
        <v>74</v>
      </c>
      <c r="BR133" t="s">
        <v>99</v>
      </c>
      <c r="BS133" t="s">
        <v>2360</v>
      </c>
      <c r="BT133" t="str">
        <f>HYPERLINK("https%3A%2F%2Fwww.webofscience.com%2Fwos%2Fwoscc%2Ffull-record%2FWOS:000188887600011","View Full Record in Web of Science")</f>
        <v>View Full Record in Web of Science</v>
      </c>
    </row>
    <row r="134" spans="1:72" x14ac:dyDescent="0.15">
      <c r="A134" t="s">
        <v>72</v>
      </c>
      <c r="B134" t="s">
        <v>2361</v>
      </c>
      <c r="C134" t="s">
        <v>74</v>
      </c>
      <c r="D134" t="s">
        <v>74</v>
      </c>
      <c r="E134" t="s">
        <v>74</v>
      </c>
      <c r="F134" t="s">
        <v>2361</v>
      </c>
      <c r="G134" t="s">
        <v>74</v>
      </c>
      <c r="H134" t="s">
        <v>74</v>
      </c>
      <c r="I134" t="s">
        <v>2362</v>
      </c>
      <c r="J134" t="s">
        <v>1245</v>
      </c>
      <c r="K134" t="s">
        <v>74</v>
      </c>
      <c r="L134" t="s">
        <v>74</v>
      </c>
      <c r="M134" t="s">
        <v>77</v>
      </c>
      <c r="N134" t="s">
        <v>78</v>
      </c>
      <c r="O134" t="s">
        <v>74</v>
      </c>
      <c r="P134" t="s">
        <v>74</v>
      </c>
      <c r="Q134" t="s">
        <v>74</v>
      </c>
      <c r="R134" t="s">
        <v>74</v>
      </c>
      <c r="S134" t="s">
        <v>74</v>
      </c>
      <c r="T134" t="s">
        <v>74</v>
      </c>
      <c r="U134" t="s">
        <v>2363</v>
      </c>
      <c r="V134" t="s">
        <v>2364</v>
      </c>
      <c r="W134" t="s">
        <v>2365</v>
      </c>
      <c r="X134" t="s">
        <v>2366</v>
      </c>
      <c r="Y134" t="s">
        <v>2367</v>
      </c>
      <c r="Z134" t="s">
        <v>2368</v>
      </c>
      <c r="AA134" t="s">
        <v>2369</v>
      </c>
      <c r="AB134" t="s">
        <v>2370</v>
      </c>
      <c r="AC134" t="s">
        <v>74</v>
      </c>
      <c r="AD134" t="s">
        <v>74</v>
      </c>
      <c r="AE134" t="s">
        <v>74</v>
      </c>
      <c r="AF134" t="s">
        <v>74</v>
      </c>
      <c r="AG134">
        <v>57</v>
      </c>
      <c r="AH134">
        <v>92</v>
      </c>
      <c r="AI134">
        <v>102</v>
      </c>
      <c r="AJ134">
        <v>0</v>
      </c>
      <c r="AK134">
        <v>41</v>
      </c>
      <c r="AL134" t="s">
        <v>1254</v>
      </c>
      <c r="AM134" t="s">
        <v>364</v>
      </c>
      <c r="AN134" t="s">
        <v>1255</v>
      </c>
      <c r="AO134" t="s">
        <v>1256</v>
      </c>
      <c r="AP134" t="s">
        <v>1257</v>
      </c>
      <c r="AQ134" t="s">
        <v>74</v>
      </c>
      <c r="AR134" t="s">
        <v>1258</v>
      </c>
      <c r="AS134" t="s">
        <v>1259</v>
      </c>
      <c r="AT134" t="s">
        <v>2344</v>
      </c>
      <c r="AU134">
        <v>2004</v>
      </c>
      <c r="AV134">
        <v>38</v>
      </c>
      <c r="AW134">
        <v>4</v>
      </c>
      <c r="AX134" t="s">
        <v>74</v>
      </c>
      <c r="AY134" t="s">
        <v>74</v>
      </c>
      <c r="AZ134" t="s">
        <v>74</v>
      </c>
      <c r="BA134" t="s">
        <v>74</v>
      </c>
      <c r="BB134">
        <v>957</v>
      </c>
      <c r="BC134">
        <v>964</v>
      </c>
      <c r="BD134" t="s">
        <v>74</v>
      </c>
      <c r="BE134" t="s">
        <v>2371</v>
      </c>
      <c r="BF134" t="str">
        <f>HYPERLINK("http://dx.doi.org/10.1021/es034715o","http://dx.doi.org/10.1021/es034715o")</f>
        <v>http://dx.doi.org/10.1021/es034715o</v>
      </c>
      <c r="BG134" t="s">
        <v>74</v>
      </c>
      <c r="BH134" t="s">
        <v>74</v>
      </c>
      <c r="BI134">
        <v>8</v>
      </c>
      <c r="BJ134" t="s">
        <v>1261</v>
      </c>
      <c r="BK134" t="s">
        <v>96</v>
      </c>
      <c r="BL134" t="s">
        <v>1262</v>
      </c>
      <c r="BM134" t="s">
        <v>2372</v>
      </c>
      <c r="BN134">
        <v>14998005</v>
      </c>
      <c r="BO134" t="s">
        <v>74</v>
      </c>
      <c r="BP134" t="s">
        <v>74</v>
      </c>
      <c r="BQ134" t="s">
        <v>74</v>
      </c>
      <c r="BR134" t="s">
        <v>99</v>
      </c>
      <c r="BS134" t="s">
        <v>2373</v>
      </c>
      <c r="BT134" t="str">
        <f>HYPERLINK("https%3A%2F%2Fwww.webofscience.com%2Fwos%2Fwoscc%2Ffull-record%2FWOS:000188996600006","View Full Record in Web of Science")</f>
        <v>View Full Record in Web of Science</v>
      </c>
    </row>
    <row r="135" spans="1:72" x14ac:dyDescent="0.15">
      <c r="A135" t="s">
        <v>72</v>
      </c>
      <c r="B135" t="s">
        <v>2374</v>
      </c>
      <c r="C135" t="s">
        <v>74</v>
      </c>
      <c r="D135" t="s">
        <v>74</v>
      </c>
      <c r="E135" t="s">
        <v>74</v>
      </c>
      <c r="F135" t="s">
        <v>2374</v>
      </c>
      <c r="G135" t="s">
        <v>74</v>
      </c>
      <c r="H135" t="s">
        <v>74</v>
      </c>
      <c r="I135" t="s">
        <v>2375</v>
      </c>
      <c r="J135" t="s">
        <v>2376</v>
      </c>
      <c r="K135" t="s">
        <v>74</v>
      </c>
      <c r="L135" t="s">
        <v>74</v>
      </c>
      <c r="M135" t="s">
        <v>77</v>
      </c>
      <c r="N135" t="s">
        <v>78</v>
      </c>
      <c r="O135" t="s">
        <v>74</v>
      </c>
      <c r="P135" t="s">
        <v>74</v>
      </c>
      <c r="Q135" t="s">
        <v>74</v>
      </c>
      <c r="R135" t="s">
        <v>74</v>
      </c>
      <c r="S135" t="s">
        <v>74</v>
      </c>
      <c r="T135" t="s">
        <v>2377</v>
      </c>
      <c r="U135" t="s">
        <v>2378</v>
      </c>
      <c r="V135" t="s">
        <v>2379</v>
      </c>
      <c r="W135" t="s">
        <v>2380</v>
      </c>
      <c r="X135" t="s">
        <v>2381</v>
      </c>
      <c r="Y135" t="s">
        <v>2382</v>
      </c>
      <c r="Z135" t="s">
        <v>2383</v>
      </c>
      <c r="AA135" t="s">
        <v>2384</v>
      </c>
      <c r="AB135" t="s">
        <v>2385</v>
      </c>
      <c r="AC135" t="s">
        <v>74</v>
      </c>
      <c r="AD135" t="s">
        <v>74</v>
      </c>
      <c r="AE135" t="s">
        <v>74</v>
      </c>
      <c r="AF135" t="s">
        <v>74</v>
      </c>
      <c r="AG135">
        <v>27</v>
      </c>
      <c r="AH135">
        <v>108</v>
      </c>
      <c r="AI135">
        <v>117</v>
      </c>
      <c r="AJ135">
        <v>1</v>
      </c>
      <c r="AK135">
        <v>31</v>
      </c>
      <c r="AL135" t="s">
        <v>2386</v>
      </c>
      <c r="AM135" t="s">
        <v>2387</v>
      </c>
      <c r="AN135" t="s">
        <v>2388</v>
      </c>
      <c r="AO135" t="s">
        <v>2389</v>
      </c>
      <c r="AP135" t="s">
        <v>74</v>
      </c>
      <c r="AQ135" t="s">
        <v>74</v>
      </c>
      <c r="AR135" t="s">
        <v>2390</v>
      </c>
      <c r="AS135" t="s">
        <v>2391</v>
      </c>
      <c r="AT135" t="s">
        <v>2344</v>
      </c>
      <c r="AU135">
        <v>2004</v>
      </c>
      <c r="AV135">
        <v>18</v>
      </c>
      <c r="AW135">
        <v>2</v>
      </c>
      <c r="AX135" t="s">
        <v>74</v>
      </c>
      <c r="AY135" t="s">
        <v>74</v>
      </c>
      <c r="AZ135" t="s">
        <v>74</v>
      </c>
      <c r="BA135" t="s">
        <v>74</v>
      </c>
      <c r="BB135">
        <v>379</v>
      </c>
      <c r="BC135">
        <v>387</v>
      </c>
      <c r="BD135" t="s">
        <v>74</v>
      </c>
      <c r="BE135" t="s">
        <v>2392</v>
      </c>
      <c r="BF135" t="str">
        <f>HYPERLINK("http://dx.doi.org/10.1002/hyp.5217","http://dx.doi.org/10.1002/hyp.5217")</f>
        <v>http://dx.doi.org/10.1002/hyp.5217</v>
      </c>
      <c r="BG135" t="s">
        <v>74</v>
      </c>
      <c r="BH135" t="s">
        <v>74</v>
      </c>
      <c r="BI135">
        <v>9</v>
      </c>
      <c r="BJ135" t="s">
        <v>2393</v>
      </c>
      <c r="BK135" t="s">
        <v>96</v>
      </c>
      <c r="BL135" t="s">
        <v>2393</v>
      </c>
      <c r="BM135" t="s">
        <v>2394</v>
      </c>
      <c r="BN135" t="s">
        <v>74</v>
      </c>
      <c r="BO135" t="s">
        <v>74</v>
      </c>
      <c r="BP135" t="s">
        <v>74</v>
      </c>
      <c r="BQ135" t="s">
        <v>74</v>
      </c>
      <c r="BR135" t="s">
        <v>99</v>
      </c>
      <c r="BS135" t="s">
        <v>2395</v>
      </c>
      <c r="BT135" t="str">
        <f>HYPERLINK("https%3A%2F%2Fwww.webofscience.com%2Fwos%2Fwoscc%2Ffull-record%2FWOS:000188939400013","View Full Record in Web of Science")</f>
        <v>View Full Record in Web of Science</v>
      </c>
    </row>
    <row r="136" spans="1:72" x14ac:dyDescent="0.15">
      <c r="A136" t="s">
        <v>72</v>
      </c>
      <c r="B136" t="s">
        <v>2396</v>
      </c>
      <c r="C136" t="s">
        <v>74</v>
      </c>
      <c r="D136" t="s">
        <v>74</v>
      </c>
      <c r="E136" t="s">
        <v>74</v>
      </c>
      <c r="F136" t="s">
        <v>2396</v>
      </c>
      <c r="G136" t="s">
        <v>74</v>
      </c>
      <c r="H136" t="s">
        <v>74</v>
      </c>
      <c r="I136" t="s">
        <v>2397</v>
      </c>
      <c r="J136" t="s">
        <v>2398</v>
      </c>
      <c r="K136" t="s">
        <v>74</v>
      </c>
      <c r="L136" t="s">
        <v>74</v>
      </c>
      <c r="M136" t="s">
        <v>77</v>
      </c>
      <c r="N136" t="s">
        <v>78</v>
      </c>
      <c r="O136" t="s">
        <v>74</v>
      </c>
      <c r="P136" t="s">
        <v>74</v>
      </c>
      <c r="Q136" t="s">
        <v>74</v>
      </c>
      <c r="R136" t="s">
        <v>74</v>
      </c>
      <c r="S136" t="s">
        <v>74</v>
      </c>
      <c r="T136" t="s">
        <v>2399</v>
      </c>
      <c r="U136" t="s">
        <v>2400</v>
      </c>
      <c r="V136" t="s">
        <v>2401</v>
      </c>
      <c r="W136" t="s">
        <v>2402</v>
      </c>
      <c r="X136" t="s">
        <v>2403</v>
      </c>
      <c r="Y136" t="s">
        <v>2404</v>
      </c>
      <c r="Z136" t="s">
        <v>2405</v>
      </c>
      <c r="AA136" t="s">
        <v>2406</v>
      </c>
      <c r="AB136" t="s">
        <v>2407</v>
      </c>
      <c r="AC136" t="s">
        <v>74</v>
      </c>
      <c r="AD136" t="s">
        <v>74</v>
      </c>
      <c r="AE136" t="s">
        <v>74</v>
      </c>
      <c r="AF136" t="s">
        <v>74</v>
      </c>
      <c r="AG136">
        <v>30</v>
      </c>
      <c r="AH136">
        <v>16</v>
      </c>
      <c r="AI136">
        <v>17</v>
      </c>
      <c r="AJ136">
        <v>0</v>
      </c>
      <c r="AK136">
        <v>5</v>
      </c>
      <c r="AL136" t="s">
        <v>528</v>
      </c>
      <c r="AM136" t="s">
        <v>529</v>
      </c>
      <c r="AN136" t="s">
        <v>530</v>
      </c>
      <c r="AO136" t="s">
        <v>2408</v>
      </c>
      <c r="AP136" t="s">
        <v>2409</v>
      </c>
      <c r="AQ136" t="s">
        <v>74</v>
      </c>
      <c r="AR136" t="s">
        <v>2410</v>
      </c>
      <c r="AS136" t="s">
        <v>2411</v>
      </c>
      <c r="AT136" t="s">
        <v>2344</v>
      </c>
      <c r="AU136">
        <v>2004</v>
      </c>
      <c r="AV136">
        <v>130</v>
      </c>
      <c r="AW136" t="s">
        <v>536</v>
      </c>
      <c r="AX136" t="s">
        <v>74</v>
      </c>
      <c r="AY136" t="s">
        <v>74</v>
      </c>
      <c r="AZ136" t="s">
        <v>74</v>
      </c>
      <c r="BA136" t="s">
        <v>74</v>
      </c>
      <c r="BB136">
        <v>51</v>
      </c>
      <c r="BC136">
        <v>59</v>
      </c>
      <c r="BD136" t="s">
        <v>74</v>
      </c>
      <c r="BE136" t="s">
        <v>2412</v>
      </c>
      <c r="BF136" t="str">
        <f>HYPERLINK("http://dx.doi.org/10.1016/S0377-0273(03)00278-6","http://dx.doi.org/10.1016/S0377-0273(03)00278-6")</f>
        <v>http://dx.doi.org/10.1016/S0377-0273(03)00278-6</v>
      </c>
      <c r="BG136" t="s">
        <v>74</v>
      </c>
      <c r="BH136" t="s">
        <v>74</v>
      </c>
      <c r="BI136">
        <v>9</v>
      </c>
      <c r="BJ136" t="s">
        <v>560</v>
      </c>
      <c r="BK136" t="s">
        <v>96</v>
      </c>
      <c r="BL136" t="s">
        <v>561</v>
      </c>
      <c r="BM136" t="s">
        <v>2413</v>
      </c>
      <c r="BN136" t="s">
        <v>74</v>
      </c>
      <c r="BO136" t="s">
        <v>74</v>
      </c>
      <c r="BP136" t="s">
        <v>74</v>
      </c>
      <c r="BQ136" t="s">
        <v>74</v>
      </c>
      <c r="BR136" t="s">
        <v>99</v>
      </c>
      <c r="BS136" t="s">
        <v>2414</v>
      </c>
      <c r="BT136" t="str">
        <f>HYPERLINK("https%3A%2F%2Fwww.webofscience.com%2Fwos%2Fwoscc%2Ffull-record%2FWOS:000188288900003","View Full Record in Web of Science")</f>
        <v>View Full Record in Web of Science</v>
      </c>
    </row>
    <row r="137" spans="1:72" x14ac:dyDescent="0.15">
      <c r="A137" t="s">
        <v>72</v>
      </c>
      <c r="B137" t="s">
        <v>2415</v>
      </c>
      <c r="C137" t="s">
        <v>74</v>
      </c>
      <c r="D137" t="s">
        <v>74</v>
      </c>
      <c r="E137" t="s">
        <v>74</v>
      </c>
      <c r="F137" t="s">
        <v>2415</v>
      </c>
      <c r="G137" t="s">
        <v>74</v>
      </c>
      <c r="H137" t="s">
        <v>74</v>
      </c>
      <c r="I137" t="s">
        <v>2416</v>
      </c>
      <c r="J137" t="s">
        <v>460</v>
      </c>
      <c r="K137" t="s">
        <v>74</v>
      </c>
      <c r="L137" t="s">
        <v>74</v>
      </c>
      <c r="M137" t="s">
        <v>77</v>
      </c>
      <c r="N137" t="s">
        <v>78</v>
      </c>
      <c r="O137" t="s">
        <v>74</v>
      </c>
      <c r="P137" t="s">
        <v>74</v>
      </c>
      <c r="Q137" t="s">
        <v>74</v>
      </c>
      <c r="R137" t="s">
        <v>74</v>
      </c>
      <c r="S137" t="s">
        <v>74</v>
      </c>
      <c r="T137" t="s">
        <v>2417</v>
      </c>
      <c r="U137" t="s">
        <v>2418</v>
      </c>
      <c r="V137" t="s">
        <v>2419</v>
      </c>
      <c r="W137" t="s">
        <v>2420</v>
      </c>
      <c r="X137" t="s">
        <v>2421</v>
      </c>
      <c r="Y137" t="s">
        <v>74</v>
      </c>
      <c r="Z137" t="s">
        <v>2422</v>
      </c>
      <c r="AA137" t="s">
        <v>2423</v>
      </c>
      <c r="AB137" t="s">
        <v>74</v>
      </c>
      <c r="AC137" t="s">
        <v>74</v>
      </c>
      <c r="AD137" t="s">
        <v>74</v>
      </c>
      <c r="AE137" t="s">
        <v>74</v>
      </c>
      <c r="AF137" t="s">
        <v>74</v>
      </c>
      <c r="AG137">
        <v>55</v>
      </c>
      <c r="AH137">
        <v>8</v>
      </c>
      <c r="AI137">
        <v>9</v>
      </c>
      <c r="AJ137">
        <v>0</v>
      </c>
      <c r="AK137">
        <v>2</v>
      </c>
      <c r="AL137" t="s">
        <v>363</v>
      </c>
      <c r="AM137" t="s">
        <v>364</v>
      </c>
      <c r="AN137" t="s">
        <v>365</v>
      </c>
      <c r="AO137" t="s">
        <v>470</v>
      </c>
      <c r="AP137" t="s">
        <v>471</v>
      </c>
      <c r="AQ137" t="s">
        <v>74</v>
      </c>
      <c r="AR137" t="s">
        <v>472</v>
      </c>
      <c r="AS137" t="s">
        <v>473</v>
      </c>
      <c r="AT137" t="s">
        <v>2424</v>
      </c>
      <c r="AU137">
        <v>2004</v>
      </c>
      <c r="AV137">
        <v>109</v>
      </c>
      <c r="AW137" t="s">
        <v>2295</v>
      </c>
      <c r="AX137" t="s">
        <v>74</v>
      </c>
      <c r="AY137" t="s">
        <v>74</v>
      </c>
      <c r="AZ137" t="s">
        <v>74</v>
      </c>
      <c r="BA137" t="s">
        <v>74</v>
      </c>
      <c r="BB137" t="s">
        <v>74</v>
      </c>
      <c r="BC137" t="s">
        <v>74</v>
      </c>
      <c r="BD137" t="s">
        <v>2425</v>
      </c>
      <c r="BE137" t="s">
        <v>2426</v>
      </c>
      <c r="BF137" t="str">
        <f>HYPERLINK("http://dx.doi.org/10.1029/2003JC001779","http://dx.doi.org/10.1029/2003JC001779")</f>
        <v>http://dx.doi.org/10.1029/2003JC001779</v>
      </c>
      <c r="BG137" t="s">
        <v>74</v>
      </c>
      <c r="BH137" t="s">
        <v>74</v>
      </c>
      <c r="BI137">
        <v>12</v>
      </c>
      <c r="BJ137" t="s">
        <v>477</v>
      </c>
      <c r="BK137" t="s">
        <v>96</v>
      </c>
      <c r="BL137" t="s">
        <v>477</v>
      </c>
      <c r="BM137" t="s">
        <v>2427</v>
      </c>
      <c r="BN137" t="s">
        <v>74</v>
      </c>
      <c r="BO137" t="s">
        <v>541</v>
      </c>
      <c r="BP137" t="s">
        <v>74</v>
      </c>
      <c r="BQ137" t="s">
        <v>74</v>
      </c>
      <c r="BR137" t="s">
        <v>99</v>
      </c>
      <c r="BS137" t="s">
        <v>2428</v>
      </c>
      <c r="BT137" t="str">
        <f>HYPERLINK("https%3A%2F%2Fwww.webofscience.com%2Fwos%2Fwoscc%2Ffull-record%2FWOS:000189053800002","View Full Record in Web of Science")</f>
        <v>View Full Record in Web of Science</v>
      </c>
    </row>
    <row r="138" spans="1:72" x14ac:dyDescent="0.15">
      <c r="A138" t="s">
        <v>72</v>
      </c>
      <c r="B138" t="s">
        <v>2429</v>
      </c>
      <c r="C138" t="s">
        <v>74</v>
      </c>
      <c r="D138" t="s">
        <v>74</v>
      </c>
      <c r="E138" t="s">
        <v>74</v>
      </c>
      <c r="F138" t="s">
        <v>2429</v>
      </c>
      <c r="G138" t="s">
        <v>74</v>
      </c>
      <c r="H138" t="s">
        <v>74</v>
      </c>
      <c r="I138" t="s">
        <v>2430</v>
      </c>
      <c r="J138" t="s">
        <v>2431</v>
      </c>
      <c r="K138" t="s">
        <v>74</v>
      </c>
      <c r="L138" t="s">
        <v>74</v>
      </c>
      <c r="M138" t="s">
        <v>77</v>
      </c>
      <c r="N138" t="s">
        <v>521</v>
      </c>
      <c r="O138" t="s">
        <v>74</v>
      </c>
      <c r="P138" t="s">
        <v>74</v>
      </c>
      <c r="Q138" t="s">
        <v>74</v>
      </c>
      <c r="R138" t="s">
        <v>74</v>
      </c>
      <c r="S138" t="s">
        <v>74</v>
      </c>
      <c r="T138" t="s">
        <v>2432</v>
      </c>
      <c r="U138" t="s">
        <v>74</v>
      </c>
      <c r="V138" t="s">
        <v>74</v>
      </c>
      <c r="W138" t="s">
        <v>74</v>
      </c>
      <c r="X138" t="s">
        <v>74</v>
      </c>
      <c r="Y138" t="s">
        <v>74</v>
      </c>
      <c r="Z138" t="s">
        <v>74</v>
      </c>
      <c r="AA138" t="s">
        <v>2433</v>
      </c>
      <c r="AB138" t="s">
        <v>74</v>
      </c>
      <c r="AC138" t="s">
        <v>74</v>
      </c>
      <c r="AD138" t="s">
        <v>74</v>
      </c>
      <c r="AE138" t="s">
        <v>74</v>
      </c>
      <c r="AF138" t="s">
        <v>74</v>
      </c>
      <c r="AG138">
        <v>1</v>
      </c>
      <c r="AH138">
        <v>1</v>
      </c>
      <c r="AI138">
        <v>2</v>
      </c>
      <c r="AJ138">
        <v>2</v>
      </c>
      <c r="AK138">
        <v>8</v>
      </c>
      <c r="AL138" t="s">
        <v>363</v>
      </c>
      <c r="AM138" t="s">
        <v>364</v>
      </c>
      <c r="AN138" t="s">
        <v>365</v>
      </c>
      <c r="AO138" t="s">
        <v>2434</v>
      </c>
      <c r="AP138" t="s">
        <v>74</v>
      </c>
      <c r="AQ138" t="s">
        <v>74</v>
      </c>
      <c r="AR138" t="s">
        <v>2435</v>
      </c>
      <c r="AS138" t="s">
        <v>2436</v>
      </c>
      <c r="AT138" t="s">
        <v>2437</v>
      </c>
      <c r="AU138">
        <v>2004</v>
      </c>
      <c r="AV138">
        <v>5</v>
      </c>
      <c r="AW138" t="s">
        <v>74</v>
      </c>
      <c r="AX138" t="s">
        <v>74</v>
      </c>
      <c r="AY138" t="s">
        <v>74</v>
      </c>
      <c r="AZ138" t="s">
        <v>74</v>
      </c>
      <c r="BA138" t="s">
        <v>74</v>
      </c>
      <c r="BB138" t="s">
        <v>74</v>
      </c>
      <c r="BC138" t="s">
        <v>74</v>
      </c>
      <c r="BD138" t="s">
        <v>2438</v>
      </c>
      <c r="BE138" t="s">
        <v>2439</v>
      </c>
      <c r="BF138" t="str">
        <f>HYPERLINK("http://dx.doi.org/10.1029/2004GC000694","http://dx.doi.org/10.1029/2004GC000694")</f>
        <v>http://dx.doi.org/10.1029/2004GC000694</v>
      </c>
      <c r="BG138" t="s">
        <v>74</v>
      </c>
      <c r="BH138" t="s">
        <v>74</v>
      </c>
      <c r="BI138">
        <v>1</v>
      </c>
      <c r="BJ138" t="s">
        <v>262</v>
      </c>
      <c r="BK138" t="s">
        <v>96</v>
      </c>
      <c r="BL138" t="s">
        <v>262</v>
      </c>
      <c r="BM138" t="s">
        <v>2440</v>
      </c>
      <c r="BN138" t="s">
        <v>74</v>
      </c>
      <c r="BO138" t="s">
        <v>541</v>
      </c>
      <c r="BP138" t="s">
        <v>74</v>
      </c>
      <c r="BQ138" t="s">
        <v>74</v>
      </c>
      <c r="BR138" t="s">
        <v>99</v>
      </c>
      <c r="BS138" t="s">
        <v>2441</v>
      </c>
      <c r="BT138" t="str">
        <f>HYPERLINK("https%3A%2F%2Fwww.webofscience.com%2Fwos%2Fwoscc%2Ffull-record%2FWOS:000189049900003","View Full Record in Web of Science")</f>
        <v>View Full Record in Web of Science</v>
      </c>
    </row>
    <row r="139" spans="1:72" x14ac:dyDescent="0.15">
      <c r="A139" t="s">
        <v>72</v>
      </c>
      <c r="B139" t="s">
        <v>2442</v>
      </c>
      <c r="C139" t="s">
        <v>74</v>
      </c>
      <c r="D139" t="s">
        <v>74</v>
      </c>
      <c r="E139" t="s">
        <v>74</v>
      </c>
      <c r="F139" t="s">
        <v>2442</v>
      </c>
      <c r="G139" t="s">
        <v>74</v>
      </c>
      <c r="H139" t="s">
        <v>74</v>
      </c>
      <c r="I139" t="s">
        <v>2443</v>
      </c>
      <c r="J139" t="s">
        <v>460</v>
      </c>
      <c r="K139" t="s">
        <v>74</v>
      </c>
      <c r="L139" t="s">
        <v>74</v>
      </c>
      <c r="M139" t="s">
        <v>77</v>
      </c>
      <c r="N139" t="s">
        <v>78</v>
      </c>
      <c r="O139" t="s">
        <v>74</v>
      </c>
      <c r="P139" t="s">
        <v>74</v>
      </c>
      <c r="Q139" t="s">
        <v>74</v>
      </c>
      <c r="R139" t="s">
        <v>74</v>
      </c>
      <c r="S139" t="s">
        <v>74</v>
      </c>
      <c r="T139" t="s">
        <v>2444</v>
      </c>
      <c r="U139" t="s">
        <v>2445</v>
      </c>
      <c r="V139" t="s">
        <v>2446</v>
      </c>
      <c r="W139" t="s">
        <v>2447</v>
      </c>
      <c r="X139" t="s">
        <v>2448</v>
      </c>
      <c r="Y139" t="s">
        <v>2449</v>
      </c>
      <c r="Z139" t="s">
        <v>2450</v>
      </c>
      <c r="AA139" t="s">
        <v>2451</v>
      </c>
      <c r="AB139" t="s">
        <v>2452</v>
      </c>
      <c r="AC139" t="s">
        <v>74</v>
      </c>
      <c r="AD139" t="s">
        <v>74</v>
      </c>
      <c r="AE139" t="s">
        <v>74</v>
      </c>
      <c r="AF139" t="s">
        <v>74</v>
      </c>
      <c r="AG139">
        <v>25</v>
      </c>
      <c r="AH139">
        <v>25</v>
      </c>
      <c r="AI139">
        <v>26</v>
      </c>
      <c r="AJ139">
        <v>0</v>
      </c>
      <c r="AK139">
        <v>13</v>
      </c>
      <c r="AL139" t="s">
        <v>363</v>
      </c>
      <c r="AM139" t="s">
        <v>364</v>
      </c>
      <c r="AN139" t="s">
        <v>365</v>
      </c>
      <c r="AO139" t="s">
        <v>470</v>
      </c>
      <c r="AP139" t="s">
        <v>471</v>
      </c>
      <c r="AQ139" t="s">
        <v>74</v>
      </c>
      <c r="AR139" t="s">
        <v>472</v>
      </c>
      <c r="AS139" t="s">
        <v>473</v>
      </c>
      <c r="AT139" t="s">
        <v>2437</v>
      </c>
      <c r="AU139">
        <v>2004</v>
      </c>
      <c r="AV139">
        <v>109</v>
      </c>
      <c r="AW139" t="s">
        <v>2295</v>
      </c>
      <c r="AX139" t="s">
        <v>74</v>
      </c>
      <c r="AY139" t="s">
        <v>74</v>
      </c>
      <c r="AZ139" t="s">
        <v>74</v>
      </c>
      <c r="BA139" t="s">
        <v>74</v>
      </c>
      <c r="BB139" t="s">
        <v>74</v>
      </c>
      <c r="BC139" t="s">
        <v>74</v>
      </c>
      <c r="BD139" t="s">
        <v>2453</v>
      </c>
      <c r="BE139" t="s">
        <v>2454</v>
      </c>
      <c r="BF139" t="str">
        <f>HYPERLINK("http://dx.doi.org/10.1029/2003JC001809","http://dx.doi.org/10.1029/2003JC001809")</f>
        <v>http://dx.doi.org/10.1029/2003JC001809</v>
      </c>
      <c r="BG139" t="s">
        <v>74</v>
      </c>
      <c r="BH139" t="s">
        <v>74</v>
      </c>
      <c r="BI139">
        <v>6</v>
      </c>
      <c r="BJ139" t="s">
        <v>477</v>
      </c>
      <c r="BK139" t="s">
        <v>96</v>
      </c>
      <c r="BL139" t="s">
        <v>477</v>
      </c>
      <c r="BM139" t="s">
        <v>2455</v>
      </c>
      <c r="BN139" t="s">
        <v>74</v>
      </c>
      <c r="BO139" t="s">
        <v>479</v>
      </c>
      <c r="BP139" t="s">
        <v>74</v>
      </c>
      <c r="BQ139" t="s">
        <v>74</v>
      </c>
      <c r="BR139" t="s">
        <v>99</v>
      </c>
      <c r="BS139" t="s">
        <v>2456</v>
      </c>
      <c r="BT139" t="str">
        <f>HYPERLINK("https%3A%2F%2Fwww.webofscience.com%2Fwos%2Fwoscc%2Ffull-record%2FWOS:000189053700002","View Full Record in Web of Science")</f>
        <v>View Full Record in Web of Science</v>
      </c>
    </row>
    <row r="140" spans="1:72" x14ac:dyDescent="0.15">
      <c r="A140" t="s">
        <v>72</v>
      </c>
      <c r="B140" t="s">
        <v>2457</v>
      </c>
      <c r="C140" t="s">
        <v>74</v>
      </c>
      <c r="D140" t="s">
        <v>74</v>
      </c>
      <c r="E140" t="s">
        <v>74</v>
      </c>
      <c r="F140" t="s">
        <v>2457</v>
      </c>
      <c r="G140" t="s">
        <v>74</v>
      </c>
      <c r="H140" t="s">
        <v>74</v>
      </c>
      <c r="I140" t="s">
        <v>2458</v>
      </c>
      <c r="J140" t="s">
        <v>378</v>
      </c>
      <c r="K140" t="s">
        <v>74</v>
      </c>
      <c r="L140" t="s">
        <v>74</v>
      </c>
      <c r="M140" t="s">
        <v>77</v>
      </c>
      <c r="N140" t="s">
        <v>78</v>
      </c>
      <c r="O140" t="s">
        <v>74</v>
      </c>
      <c r="P140" t="s">
        <v>74</v>
      </c>
      <c r="Q140" t="s">
        <v>74</v>
      </c>
      <c r="R140" t="s">
        <v>74</v>
      </c>
      <c r="S140" t="s">
        <v>74</v>
      </c>
      <c r="T140" t="s">
        <v>2459</v>
      </c>
      <c r="U140" t="s">
        <v>2460</v>
      </c>
      <c r="V140" t="s">
        <v>2461</v>
      </c>
      <c r="W140" t="s">
        <v>2462</v>
      </c>
      <c r="X140" t="s">
        <v>2463</v>
      </c>
      <c r="Y140" t="s">
        <v>2464</v>
      </c>
      <c r="Z140" t="s">
        <v>2465</v>
      </c>
      <c r="AA140" t="s">
        <v>2466</v>
      </c>
      <c r="AB140" t="s">
        <v>2467</v>
      </c>
      <c r="AC140" t="s">
        <v>74</v>
      </c>
      <c r="AD140" t="s">
        <v>74</v>
      </c>
      <c r="AE140" t="s">
        <v>74</v>
      </c>
      <c r="AF140" t="s">
        <v>74</v>
      </c>
      <c r="AG140">
        <v>47</v>
      </c>
      <c r="AH140">
        <v>38</v>
      </c>
      <c r="AI140">
        <v>41</v>
      </c>
      <c r="AJ140">
        <v>0</v>
      </c>
      <c r="AK140">
        <v>2</v>
      </c>
      <c r="AL140" t="s">
        <v>363</v>
      </c>
      <c r="AM140" t="s">
        <v>364</v>
      </c>
      <c r="AN140" t="s">
        <v>365</v>
      </c>
      <c r="AO140" t="s">
        <v>388</v>
      </c>
      <c r="AP140" t="s">
        <v>389</v>
      </c>
      <c r="AQ140" t="s">
        <v>74</v>
      </c>
      <c r="AR140" t="s">
        <v>390</v>
      </c>
      <c r="AS140" t="s">
        <v>391</v>
      </c>
      <c r="AT140" t="s">
        <v>2468</v>
      </c>
      <c r="AU140">
        <v>2004</v>
      </c>
      <c r="AV140">
        <v>109</v>
      </c>
      <c r="AW140" t="s">
        <v>2469</v>
      </c>
      <c r="AX140" t="s">
        <v>74</v>
      </c>
      <c r="AY140" t="s">
        <v>74</v>
      </c>
      <c r="AZ140" t="s">
        <v>74</v>
      </c>
      <c r="BA140" t="s">
        <v>74</v>
      </c>
      <c r="BB140" t="s">
        <v>74</v>
      </c>
      <c r="BC140" t="s">
        <v>74</v>
      </c>
      <c r="BD140" t="s">
        <v>2470</v>
      </c>
      <c r="BE140" t="s">
        <v>2471</v>
      </c>
      <c r="BF140" t="str">
        <f>HYPERLINK("http://dx.doi.org/10.1029/2003JA010204","http://dx.doi.org/10.1029/2003JA010204")</f>
        <v>http://dx.doi.org/10.1029/2003JA010204</v>
      </c>
      <c r="BG140" t="s">
        <v>74</v>
      </c>
      <c r="BH140" t="s">
        <v>74</v>
      </c>
      <c r="BI140">
        <v>12</v>
      </c>
      <c r="BJ140" t="s">
        <v>395</v>
      </c>
      <c r="BK140" t="s">
        <v>96</v>
      </c>
      <c r="BL140" t="s">
        <v>395</v>
      </c>
      <c r="BM140" t="s">
        <v>2472</v>
      </c>
      <c r="BN140" t="s">
        <v>74</v>
      </c>
      <c r="BO140" t="s">
        <v>74</v>
      </c>
      <c r="BP140" t="s">
        <v>74</v>
      </c>
      <c r="BQ140" t="s">
        <v>74</v>
      </c>
      <c r="BR140" t="s">
        <v>99</v>
      </c>
      <c r="BS140" t="s">
        <v>2473</v>
      </c>
      <c r="BT140" t="str">
        <f>HYPERLINK("https%3A%2F%2Fwww.webofscience.com%2Fwos%2Fwoscc%2Ffull-record%2FWOS:000189054400003","View Full Record in Web of Science")</f>
        <v>View Full Record in Web of Science</v>
      </c>
    </row>
    <row r="141" spans="1:72" x14ac:dyDescent="0.15">
      <c r="A141" t="s">
        <v>72</v>
      </c>
      <c r="B141" t="s">
        <v>2474</v>
      </c>
      <c r="C141" t="s">
        <v>74</v>
      </c>
      <c r="D141" t="s">
        <v>74</v>
      </c>
      <c r="E141" t="s">
        <v>74</v>
      </c>
      <c r="F141" t="s">
        <v>2474</v>
      </c>
      <c r="G141" t="s">
        <v>74</v>
      </c>
      <c r="H141" t="s">
        <v>74</v>
      </c>
      <c r="I141" t="s">
        <v>2475</v>
      </c>
      <c r="J141" t="s">
        <v>2476</v>
      </c>
      <c r="K141" t="s">
        <v>74</v>
      </c>
      <c r="L141" t="s">
        <v>74</v>
      </c>
      <c r="M141" t="s">
        <v>77</v>
      </c>
      <c r="N141" t="s">
        <v>78</v>
      </c>
      <c r="O141" t="s">
        <v>74</v>
      </c>
      <c r="P141" t="s">
        <v>74</v>
      </c>
      <c r="Q141" t="s">
        <v>74</v>
      </c>
      <c r="R141" t="s">
        <v>74</v>
      </c>
      <c r="S141" t="s">
        <v>74</v>
      </c>
      <c r="T141" t="s">
        <v>74</v>
      </c>
      <c r="U141" t="s">
        <v>2477</v>
      </c>
      <c r="V141" t="s">
        <v>2478</v>
      </c>
      <c r="W141" t="s">
        <v>2479</v>
      </c>
      <c r="X141" t="s">
        <v>2480</v>
      </c>
      <c r="Y141" t="s">
        <v>2481</v>
      </c>
      <c r="Z141" t="s">
        <v>2482</v>
      </c>
      <c r="AA141" t="s">
        <v>2483</v>
      </c>
      <c r="AB141" t="s">
        <v>2484</v>
      </c>
      <c r="AC141" t="s">
        <v>74</v>
      </c>
      <c r="AD141" t="s">
        <v>74</v>
      </c>
      <c r="AE141" t="s">
        <v>74</v>
      </c>
      <c r="AF141" t="s">
        <v>74</v>
      </c>
      <c r="AG141">
        <v>9</v>
      </c>
      <c r="AH141">
        <v>19</v>
      </c>
      <c r="AI141">
        <v>19</v>
      </c>
      <c r="AJ141">
        <v>0</v>
      </c>
      <c r="AK141">
        <v>8</v>
      </c>
      <c r="AL141" t="s">
        <v>213</v>
      </c>
      <c r="AM141" t="s">
        <v>214</v>
      </c>
      <c r="AN141" t="s">
        <v>215</v>
      </c>
      <c r="AO141" t="s">
        <v>2485</v>
      </c>
      <c r="AP141" t="s">
        <v>74</v>
      </c>
      <c r="AQ141" t="s">
        <v>74</v>
      </c>
      <c r="AR141" t="s">
        <v>2486</v>
      </c>
      <c r="AS141" t="s">
        <v>2487</v>
      </c>
      <c r="AT141" t="s">
        <v>2488</v>
      </c>
      <c r="AU141">
        <v>2004</v>
      </c>
      <c r="AV141">
        <v>15</v>
      </c>
      <c r="AW141">
        <v>3</v>
      </c>
      <c r="AX141" t="s">
        <v>74</v>
      </c>
      <c r="AY141" t="s">
        <v>74</v>
      </c>
      <c r="AZ141" t="s">
        <v>74</v>
      </c>
      <c r="BA141" t="s">
        <v>74</v>
      </c>
      <c r="BB141">
        <v>423</v>
      </c>
      <c r="BC141">
        <v>428</v>
      </c>
      <c r="BD141" t="s">
        <v>74</v>
      </c>
      <c r="BE141" t="s">
        <v>2489</v>
      </c>
      <c r="BF141" t="str">
        <f>HYPERLINK("http://dx.doi.org/10.1016/j.tetasy.2003.10.024","http://dx.doi.org/10.1016/j.tetasy.2003.10.024")</f>
        <v>http://dx.doi.org/10.1016/j.tetasy.2003.10.024</v>
      </c>
      <c r="BG141" t="s">
        <v>74</v>
      </c>
      <c r="BH141" t="s">
        <v>74</v>
      </c>
      <c r="BI141">
        <v>6</v>
      </c>
      <c r="BJ141" t="s">
        <v>2490</v>
      </c>
      <c r="BK141" t="s">
        <v>2491</v>
      </c>
      <c r="BL141" t="s">
        <v>2113</v>
      </c>
      <c r="BM141" t="s">
        <v>2492</v>
      </c>
      <c r="BN141" t="s">
        <v>74</v>
      </c>
      <c r="BO141" t="s">
        <v>541</v>
      </c>
      <c r="BP141" t="s">
        <v>74</v>
      </c>
      <c r="BQ141" t="s">
        <v>74</v>
      </c>
      <c r="BR141" t="s">
        <v>99</v>
      </c>
      <c r="BS141" t="s">
        <v>2493</v>
      </c>
      <c r="BT141" t="str">
        <f>HYPERLINK("https%3A%2F%2Fwww.webofscience.com%2Fwos%2Fwoscc%2Ffull-record%2FWOS:000188785400006","View Full Record in Web of Science")</f>
        <v>View Full Record in Web of Science</v>
      </c>
    </row>
    <row r="142" spans="1:72" x14ac:dyDescent="0.15">
      <c r="A142" t="s">
        <v>72</v>
      </c>
      <c r="B142" t="s">
        <v>2494</v>
      </c>
      <c r="C142" t="s">
        <v>74</v>
      </c>
      <c r="D142" t="s">
        <v>74</v>
      </c>
      <c r="E142" t="s">
        <v>74</v>
      </c>
      <c r="F142" t="s">
        <v>2494</v>
      </c>
      <c r="G142" t="s">
        <v>74</v>
      </c>
      <c r="H142" t="s">
        <v>74</v>
      </c>
      <c r="I142" t="s">
        <v>2495</v>
      </c>
      <c r="J142" t="s">
        <v>2496</v>
      </c>
      <c r="K142" t="s">
        <v>74</v>
      </c>
      <c r="L142" t="s">
        <v>74</v>
      </c>
      <c r="M142" t="s">
        <v>77</v>
      </c>
      <c r="N142" t="s">
        <v>78</v>
      </c>
      <c r="O142" t="s">
        <v>74</v>
      </c>
      <c r="P142" t="s">
        <v>74</v>
      </c>
      <c r="Q142" t="s">
        <v>74</v>
      </c>
      <c r="R142" t="s">
        <v>74</v>
      </c>
      <c r="S142" t="s">
        <v>74</v>
      </c>
      <c r="T142" t="s">
        <v>2497</v>
      </c>
      <c r="U142" t="s">
        <v>2498</v>
      </c>
      <c r="V142" t="s">
        <v>2499</v>
      </c>
      <c r="W142" t="s">
        <v>647</v>
      </c>
      <c r="X142" t="s">
        <v>82</v>
      </c>
      <c r="Y142" t="s">
        <v>2500</v>
      </c>
      <c r="Z142" t="s">
        <v>2501</v>
      </c>
      <c r="AA142" t="s">
        <v>74</v>
      </c>
      <c r="AB142" t="s">
        <v>74</v>
      </c>
      <c r="AC142" t="s">
        <v>74</v>
      </c>
      <c r="AD142" t="s">
        <v>74</v>
      </c>
      <c r="AE142" t="s">
        <v>74</v>
      </c>
      <c r="AF142" t="s">
        <v>74</v>
      </c>
      <c r="AG142">
        <v>21</v>
      </c>
      <c r="AH142">
        <v>16</v>
      </c>
      <c r="AI142">
        <v>17</v>
      </c>
      <c r="AJ142">
        <v>0</v>
      </c>
      <c r="AK142">
        <v>10</v>
      </c>
      <c r="AL142" t="s">
        <v>2502</v>
      </c>
      <c r="AM142" t="s">
        <v>1417</v>
      </c>
      <c r="AN142" t="s">
        <v>2503</v>
      </c>
      <c r="AO142" t="s">
        <v>2504</v>
      </c>
      <c r="AP142" t="s">
        <v>74</v>
      </c>
      <c r="AQ142" t="s">
        <v>74</v>
      </c>
      <c r="AR142" t="s">
        <v>2505</v>
      </c>
      <c r="AS142" t="s">
        <v>2506</v>
      </c>
      <c r="AT142" t="s">
        <v>2507</v>
      </c>
      <c r="AU142">
        <v>2004</v>
      </c>
      <c r="AV142">
        <v>271</v>
      </c>
      <c r="AW142" t="s">
        <v>74</v>
      </c>
      <c r="AX142" t="s">
        <v>74</v>
      </c>
      <c r="AY142">
        <v>3</v>
      </c>
      <c r="AZ142" t="s">
        <v>74</v>
      </c>
      <c r="BA142" t="s">
        <v>74</v>
      </c>
      <c r="BB142" t="s">
        <v>2508</v>
      </c>
      <c r="BC142" t="s">
        <v>2509</v>
      </c>
      <c r="BD142" t="s">
        <v>74</v>
      </c>
      <c r="BE142" t="s">
        <v>2510</v>
      </c>
      <c r="BF142" t="str">
        <f>HYPERLINK("http://dx.doi.org/10.1098/rsbl.2003.0053","http://dx.doi.org/10.1098/rsbl.2003.0053")</f>
        <v>http://dx.doi.org/10.1098/rsbl.2003.0053</v>
      </c>
      <c r="BG142" t="s">
        <v>74</v>
      </c>
      <c r="BH142" t="s">
        <v>74</v>
      </c>
      <c r="BI142">
        <v>4</v>
      </c>
      <c r="BJ142" t="s">
        <v>2511</v>
      </c>
      <c r="BK142" t="s">
        <v>96</v>
      </c>
      <c r="BL142" t="s">
        <v>2512</v>
      </c>
      <c r="BM142" t="s">
        <v>2513</v>
      </c>
      <c r="BN142">
        <v>15101407</v>
      </c>
      <c r="BO142" t="s">
        <v>479</v>
      </c>
      <c r="BP142" t="s">
        <v>74</v>
      </c>
      <c r="BQ142" t="s">
        <v>74</v>
      </c>
      <c r="BR142" t="s">
        <v>99</v>
      </c>
      <c r="BS142" t="s">
        <v>2514</v>
      </c>
      <c r="BT142" t="str">
        <f>HYPERLINK("https%3A%2F%2Fwww.webofscience.com%2Fwos%2Fwoscc%2Ffull-record%2FWOS:000188786700006","View Full Record in Web of Science")</f>
        <v>View Full Record in Web of Science</v>
      </c>
    </row>
    <row r="143" spans="1:72" x14ac:dyDescent="0.15">
      <c r="A143" t="s">
        <v>72</v>
      </c>
      <c r="B143" t="s">
        <v>2515</v>
      </c>
      <c r="C143" t="s">
        <v>74</v>
      </c>
      <c r="D143" t="s">
        <v>74</v>
      </c>
      <c r="E143" t="s">
        <v>74</v>
      </c>
      <c r="F143" t="s">
        <v>2515</v>
      </c>
      <c r="G143" t="s">
        <v>74</v>
      </c>
      <c r="H143" t="s">
        <v>74</v>
      </c>
      <c r="I143" t="s">
        <v>2516</v>
      </c>
      <c r="J143" t="s">
        <v>378</v>
      </c>
      <c r="K143" t="s">
        <v>74</v>
      </c>
      <c r="L143" t="s">
        <v>74</v>
      </c>
      <c r="M143" t="s">
        <v>77</v>
      </c>
      <c r="N143" t="s">
        <v>78</v>
      </c>
      <c r="O143" t="s">
        <v>74</v>
      </c>
      <c r="P143" t="s">
        <v>74</v>
      </c>
      <c r="Q143" t="s">
        <v>74</v>
      </c>
      <c r="R143" t="s">
        <v>74</v>
      </c>
      <c r="S143" t="s">
        <v>74</v>
      </c>
      <c r="T143" t="s">
        <v>2517</v>
      </c>
      <c r="U143" t="s">
        <v>2518</v>
      </c>
      <c r="V143" t="s">
        <v>2519</v>
      </c>
      <c r="W143" t="s">
        <v>2520</v>
      </c>
      <c r="X143" t="s">
        <v>82</v>
      </c>
      <c r="Y143" t="s">
        <v>2521</v>
      </c>
      <c r="Z143" t="s">
        <v>2522</v>
      </c>
      <c r="AA143" t="s">
        <v>74</v>
      </c>
      <c r="AB143" t="s">
        <v>74</v>
      </c>
      <c r="AC143" t="s">
        <v>74</v>
      </c>
      <c r="AD143" t="s">
        <v>74</v>
      </c>
      <c r="AE143" t="s">
        <v>74</v>
      </c>
      <c r="AF143" t="s">
        <v>74</v>
      </c>
      <c r="AG143">
        <v>34</v>
      </c>
      <c r="AH143">
        <v>6</v>
      </c>
      <c r="AI143">
        <v>6</v>
      </c>
      <c r="AJ143">
        <v>0</v>
      </c>
      <c r="AK143">
        <v>1</v>
      </c>
      <c r="AL143" t="s">
        <v>363</v>
      </c>
      <c r="AM143" t="s">
        <v>364</v>
      </c>
      <c r="AN143" t="s">
        <v>365</v>
      </c>
      <c r="AO143" t="s">
        <v>388</v>
      </c>
      <c r="AP143" t="s">
        <v>389</v>
      </c>
      <c r="AQ143" t="s">
        <v>74</v>
      </c>
      <c r="AR143" t="s">
        <v>390</v>
      </c>
      <c r="AS143" t="s">
        <v>391</v>
      </c>
      <c r="AT143" t="s">
        <v>2523</v>
      </c>
      <c r="AU143">
        <v>2004</v>
      </c>
      <c r="AV143">
        <v>109</v>
      </c>
      <c r="AW143" t="s">
        <v>2469</v>
      </c>
      <c r="AX143" t="s">
        <v>74</v>
      </c>
      <c r="AY143" t="s">
        <v>74</v>
      </c>
      <c r="AZ143" t="s">
        <v>74</v>
      </c>
      <c r="BA143" t="s">
        <v>74</v>
      </c>
      <c r="BB143" t="s">
        <v>74</v>
      </c>
      <c r="BC143" t="s">
        <v>74</v>
      </c>
      <c r="BD143" t="s">
        <v>2524</v>
      </c>
      <c r="BE143" t="s">
        <v>2525</v>
      </c>
      <c r="BF143" t="str">
        <f>HYPERLINK("http://dx.doi.org/10.1029/2003JA010214","http://dx.doi.org/10.1029/2003JA010214")</f>
        <v>http://dx.doi.org/10.1029/2003JA010214</v>
      </c>
      <c r="BG143" t="s">
        <v>74</v>
      </c>
      <c r="BH143" t="s">
        <v>74</v>
      </c>
      <c r="BI143">
        <v>11</v>
      </c>
      <c r="BJ143" t="s">
        <v>395</v>
      </c>
      <c r="BK143" t="s">
        <v>96</v>
      </c>
      <c r="BL143" t="s">
        <v>395</v>
      </c>
      <c r="BM143" t="s">
        <v>2526</v>
      </c>
      <c r="BN143" t="s">
        <v>74</v>
      </c>
      <c r="BO143" t="s">
        <v>74</v>
      </c>
      <c r="BP143" t="s">
        <v>74</v>
      </c>
      <c r="BQ143" t="s">
        <v>74</v>
      </c>
      <c r="BR143" t="s">
        <v>99</v>
      </c>
      <c r="BS143" t="s">
        <v>2527</v>
      </c>
      <c r="BT143" t="str">
        <f>HYPERLINK("https%3A%2F%2Fwww.webofscience.com%2Fwos%2Fwoscc%2Ffull-record%2FWOS:000189047600002","View Full Record in Web of Science")</f>
        <v>View Full Record in Web of Science</v>
      </c>
    </row>
    <row r="144" spans="1:72" x14ac:dyDescent="0.15">
      <c r="A144" t="s">
        <v>72</v>
      </c>
      <c r="B144" t="s">
        <v>2528</v>
      </c>
      <c r="C144" t="s">
        <v>74</v>
      </c>
      <c r="D144" t="s">
        <v>74</v>
      </c>
      <c r="E144" t="s">
        <v>74</v>
      </c>
      <c r="F144" t="s">
        <v>2528</v>
      </c>
      <c r="G144" t="s">
        <v>74</v>
      </c>
      <c r="H144" t="s">
        <v>74</v>
      </c>
      <c r="I144" t="s">
        <v>2529</v>
      </c>
      <c r="J144" t="s">
        <v>419</v>
      </c>
      <c r="K144" t="s">
        <v>74</v>
      </c>
      <c r="L144" t="s">
        <v>74</v>
      </c>
      <c r="M144" t="s">
        <v>77</v>
      </c>
      <c r="N144" t="s">
        <v>78</v>
      </c>
      <c r="O144" t="s">
        <v>74</v>
      </c>
      <c r="P144" t="s">
        <v>74</v>
      </c>
      <c r="Q144" t="s">
        <v>74</v>
      </c>
      <c r="R144" t="s">
        <v>74</v>
      </c>
      <c r="S144" t="s">
        <v>74</v>
      </c>
      <c r="T144" t="s">
        <v>2530</v>
      </c>
      <c r="U144" t="s">
        <v>2531</v>
      </c>
      <c r="V144" t="s">
        <v>2532</v>
      </c>
      <c r="W144" t="s">
        <v>2533</v>
      </c>
      <c r="X144" t="s">
        <v>2534</v>
      </c>
      <c r="Y144" t="s">
        <v>2535</v>
      </c>
      <c r="Z144" t="s">
        <v>2536</v>
      </c>
      <c r="AA144" t="s">
        <v>2537</v>
      </c>
      <c r="AB144" t="s">
        <v>74</v>
      </c>
      <c r="AC144" t="s">
        <v>74</v>
      </c>
      <c r="AD144" t="s">
        <v>74</v>
      </c>
      <c r="AE144" t="s">
        <v>74</v>
      </c>
      <c r="AF144" t="s">
        <v>74</v>
      </c>
      <c r="AG144">
        <v>60</v>
      </c>
      <c r="AH144">
        <v>69</v>
      </c>
      <c r="AI144">
        <v>71</v>
      </c>
      <c r="AJ144">
        <v>0</v>
      </c>
      <c r="AK144">
        <v>11</v>
      </c>
      <c r="AL144" t="s">
        <v>363</v>
      </c>
      <c r="AM144" t="s">
        <v>364</v>
      </c>
      <c r="AN144" t="s">
        <v>365</v>
      </c>
      <c r="AO144" t="s">
        <v>429</v>
      </c>
      <c r="AP144" t="s">
        <v>430</v>
      </c>
      <c r="AQ144" t="s">
        <v>74</v>
      </c>
      <c r="AR144" t="s">
        <v>431</v>
      </c>
      <c r="AS144" t="s">
        <v>432</v>
      </c>
      <c r="AT144" t="s">
        <v>2538</v>
      </c>
      <c r="AU144">
        <v>2004</v>
      </c>
      <c r="AV144">
        <v>109</v>
      </c>
      <c r="AW144" t="s">
        <v>2539</v>
      </c>
      <c r="AX144" t="s">
        <v>74</v>
      </c>
      <c r="AY144" t="s">
        <v>74</v>
      </c>
      <c r="AZ144" t="s">
        <v>74</v>
      </c>
      <c r="BA144" t="s">
        <v>74</v>
      </c>
      <c r="BB144" t="s">
        <v>74</v>
      </c>
      <c r="BC144" t="s">
        <v>74</v>
      </c>
      <c r="BD144" t="s">
        <v>2540</v>
      </c>
      <c r="BE144" t="s">
        <v>2541</v>
      </c>
      <c r="BF144" t="str">
        <f>HYPERLINK("http://dx.doi.org/10.1029/2003JD003811","http://dx.doi.org/10.1029/2003JD003811")</f>
        <v>http://dx.doi.org/10.1029/2003JD003811</v>
      </c>
      <c r="BG144" t="s">
        <v>74</v>
      </c>
      <c r="BH144" t="s">
        <v>74</v>
      </c>
      <c r="BI144">
        <v>16</v>
      </c>
      <c r="BJ144" t="s">
        <v>186</v>
      </c>
      <c r="BK144" t="s">
        <v>96</v>
      </c>
      <c r="BL144" t="s">
        <v>186</v>
      </c>
      <c r="BM144" t="s">
        <v>2542</v>
      </c>
      <c r="BN144" t="s">
        <v>74</v>
      </c>
      <c r="BO144" t="s">
        <v>541</v>
      </c>
      <c r="BP144" t="s">
        <v>74</v>
      </c>
      <c r="BQ144" t="s">
        <v>74</v>
      </c>
      <c r="BR144" t="s">
        <v>99</v>
      </c>
      <c r="BS144" t="s">
        <v>2543</v>
      </c>
      <c r="BT144" t="str">
        <f>HYPERLINK("https%3A%2F%2Fwww.webofscience.com%2Fwos%2Fwoscc%2Ffull-record%2FWOS:000189044300001","View Full Record in Web of Science")</f>
        <v>View Full Record in Web of Science</v>
      </c>
    </row>
    <row r="145" spans="1:72" x14ac:dyDescent="0.15">
      <c r="A145" t="s">
        <v>72</v>
      </c>
      <c r="B145" t="s">
        <v>2544</v>
      </c>
      <c r="C145" t="s">
        <v>74</v>
      </c>
      <c r="D145" t="s">
        <v>74</v>
      </c>
      <c r="E145" t="s">
        <v>74</v>
      </c>
      <c r="F145" t="s">
        <v>2544</v>
      </c>
      <c r="G145" t="s">
        <v>74</v>
      </c>
      <c r="H145" t="s">
        <v>74</v>
      </c>
      <c r="I145" t="s">
        <v>2545</v>
      </c>
      <c r="J145" t="s">
        <v>545</v>
      </c>
      <c r="K145" t="s">
        <v>74</v>
      </c>
      <c r="L145" t="s">
        <v>74</v>
      </c>
      <c r="M145" t="s">
        <v>77</v>
      </c>
      <c r="N145" t="s">
        <v>78</v>
      </c>
      <c r="O145" t="s">
        <v>74</v>
      </c>
      <c r="P145" t="s">
        <v>74</v>
      </c>
      <c r="Q145" t="s">
        <v>74</v>
      </c>
      <c r="R145" t="s">
        <v>74</v>
      </c>
      <c r="S145" t="s">
        <v>74</v>
      </c>
      <c r="T145" t="s">
        <v>74</v>
      </c>
      <c r="U145" t="s">
        <v>2546</v>
      </c>
      <c r="V145" t="s">
        <v>2547</v>
      </c>
      <c r="W145" t="s">
        <v>2548</v>
      </c>
      <c r="X145" t="s">
        <v>2549</v>
      </c>
      <c r="Y145" t="s">
        <v>2550</v>
      </c>
      <c r="Z145" t="s">
        <v>2551</v>
      </c>
      <c r="AA145" t="s">
        <v>2552</v>
      </c>
      <c r="AB145" t="s">
        <v>2553</v>
      </c>
      <c r="AC145" t="s">
        <v>74</v>
      </c>
      <c r="AD145" t="s">
        <v>74</v>
      </c>
      <c r="AE145" t="s">
        <v>74</v>
      </c>
      <c r="AF145" t="s">
        <v>74</v>
      </c>
      <c r="AG145">
        <v>25</v>
      </c>
      <c r="AH145">
        <v>61</v>
      </c>
      <c r="AI145">
        <v>62</v>
      </c>
      <c r="AJ145">
        <v>0</v>
      </c>
      <c r="AK145">
        <v>9</v>
      </c>
      <c r="AL145" t="s">
        <v>363</v>
      </c>
      <c r="AM145" t="s">
        <v>364</v>
      </c>
      <c r="AN145" t="s">
        <v>365</v>
      </c>
      <c r="AO145" t="s">
        <v>553</v>
      </c>
      <c r="AP145" t="s">
        <v>74</v>
      </c>
      <c r="AQ145" t="s">
        <v>74</v>
      </c>
      <c r="AR145" t="s">
        <v>555</v>
      </c>
      <c r="AS145" t="s">
        <v>556</v>
      </c>
      <c r="AT145" t="s">
        <v>2554</v>
      </c>
      <c r="AU145">
        <v>2004</v>
      </c>
      <c r="AV145">
        <v>31</v>
      </c>
      <c r="AW145">
        <v>3</v>
      </c>
      <c r="AX145" t="s">
        <v>74</v>
      </c>
      <c r="AY145" t="s">
        <v>74</v>
      </c>
      <c r="AZ145" t="s">
        <v>74</v>
      </c>
      <c r="BA145" t="s">
        <v>74</v>
      </c>
      <c r="BB145" t="s">
        <v>74</v>
      </c>
      <c r="BC145" t="s">
        <v>74</v>
      </c>
      <c r="BD145" t="s">
        <v>2555</v>
      </c>
      <c r="BE145" t="s">
        <v>2556</v>
      </c>
      <c r="BF145" t="str">
        <f>HYPERLINK("http://dx.doi.org/10.1029/2003GL018530","http://dx.doi.org/10.1029/2003GL018530")</f>
        <v>http://dx.doi.org/10.1029/2003GL018530</v>
      </c>
      <c r="BG145" t="s">
        <v>74</v>
      </c>
      <c r="BH145" t="s">
        <v>74</v>
      </c>
      <c r="BI145">
        <v>4</v>
      </c>
      <c r="BJ145" t="s">
        <v>560</v>
      </c>
      <c r="BK145" t="s">
        <v>96</v>
      </c>
      <c r="BL145" t="s">
        <v>561</v>
      </c>
      <c r="BM145" t="s">
        <v>2557</v>
      </c>
      <c r="BN145" t="s">
        <v>74</v>
      </c>
      <c r="BO145" t="s">
        <v>2558</v>
      </c>
      <c r="BP145" t="s">
        <v>74</v>
      </c>
      <c r="BQ145" t="s">
        <v>74</v>
      </c>
      <c r="BR145" t="s">
        <v>99</v>
      </c>
      <c r="BS145" t="s">
        <v>2559</v>
      </c>
      <c r="BT145" t="str">
        <f>HYPERLINK("https%3A%2F%2Fwww.webofscience.com%2Fwos%2Fwoscc%2Ffull-record%2FWOS:000189043200003","View Full Record in Web of Science")</f>
        <v>View Full Record in Web of Science</v>
      </c>
    </row>
    <row r="146" spans="1:72" x14ac:dyDescent="0.15">
      <c r="A146" t="s">
        <v>72</v>
      </c>
      <c r="B146" t="s">
        <v>2560</v>
      </c>
      <c r="C146" t="s">
        <v>74</v>
      </c>
      <c r="D146" t="s">
        <v>74</v>
      </c>
      <c r="E146" t="s">
        <v>74</v>
      </c>
      <c r="F146" t="s">
        <v>2560</v>
      </c>
      <c r="G146" t="s">
        <v>74</v>
      </c>
      <c r="H146" t="s">
        <v>74</v>
      </c>
      <c r="I146" t="s">
        <v>2561</v>
      </c>
      <c r="J146" t="s">
        <v>545</v>
      </c>
      <c r="K146" t="s">
        <v>74</v>
      </c>
      <c r="L146" t="s">
        <v>74</v>
      </c>
      <c r="M146" t="s">
        <v>77</v>
      </c>
      <c r="N146" t="s">
        <v>78</v>
      </c>
      <c r="O146" t="s">
        <v>74</v>
      </c>
      <c r="P146" t="s">
        <v>74</v>
      </c>
      <c r="Q146" t="s">
        <v>74</v>
      </c>
      <c r="R146" t="s">
        <v>74</v>
      </c>
      <c r="S146" t="s">
        <v>74</v>
      </c>
      <c r="T146" t="s">
        <v>2562</v>
      </c>
      <c r="U146" t="s">
        <v>2563</v>
      </c>
      <c r="V146" t="s">
        <v>2564</v>
      </c>
      <c r="W146" t="s">
        <v>2565</v>
      </c>
      <c r="X146" t="s">
        <v>2566</v>
      </c>
      <c r="Y146" t="s">
        <v>2567</v>
      </c>
      <c r="Z146" t="s">
        <v>2568</v>
      </c>
      <c r="AA146" t="s">
        <v>2569</v>
      </c>
      <c r="AB146" t="s">
        <v>2570</v>
      </c>
      <c r="AC146" t="s">
        <v>74</v>
      </c>
      <c r="AD146" t="s">
        <v>74</v>
      </c>
      <c r="AE146" t="s">
        <v>74</v>
      </c>
      <c r="AF146" t="s">
        <v>74</v>
      </c>
      <c r="AG146">
        <v>23</v>
      </c>
      <c r="AH146">
        <v>30</v>
      </c>
      <c r="AI146">
        <v>31</v>
      </c>
      <c r="AJ146">
        <v>2</v>
      </c>
      <c r="AK146">
        <v>16</v>
      </c>
      <c r="AL146" t="s">
        <v>363</v>
      </c>
      <c r="AM146" t="s">
        <v>364</v>
      </c>
      <c r="AN146" t="s">
        <v>365</v>
      </c>
      <c r="AO146" t="s">
        <v>553</v>
      </c>
      <c r="AP146" t="s">
        <v>554</v>
      </c>
      <c r="AQ146" t="s">
        <v>74</v>
      </c>
      <c r="AR146" t="s">
        <v>555</v>
      </c>
      <c r="AS146" t="s">
        <v>556</v>
      </c>
      <c r="AT146" t="s">
        <v>2554</v>
      </c>
      <c r="AU146">
        <v>2004</v>
      </c>
      <c r="AV146">
        <v>31</v>
      </c>
      <c r="AW146">
        <v>3</v>
      </c>
      <c r="AX146" t="s">
        <v>74</v>
      </c>
      <c r="AY146" t="s">
        <v>74</v>
      </c>
      <c r="AZ146" t="s">
        <v>74</v>
      </c>
      <c r="BA146" t="s">
        <v>74</v>
      </c>
      <c r="BB146" t="s">
        <v>74</v>
      </c>
      <c r="BC146" t="s">
        <v>74</v>
      </c>
      <c r="BD146" t="s">
        <v>2571</v>
      </c>
      <c r="BE146" t="s">
        <v>2572</v>
      </c>
      <c r="BF146" t="str">
        <f>HYPERLINK("http://dx.doi.org/10.1029/2003GL018946","http://dx.doi.org/10.1029/2003GL018946")</f>
        <v>http://dx.doi.org/10.1029/2003GL018946</v>
      </c>
      <c r="BG146" t="s">
        <v>74</v>
      </c>
      <c r="BH146" t="s">
        <v>74</v>
      </c>
      <c r="BI146">
        <v>4</v>
      </c>
      <c r="BJ146" t="s">
        <v>560</v>
      </c>
      <c r="BK146" t="s">
        <v>96</v>
      </c>
      <c r="BL146" t="s">
        <v>561</v>
      </c>
      <c r="BM146" t="s">
        <v>2557</v>
      </c>
      <c r="BN146" t="s">
        <v>74</v>
      </c>
      <c r="BO146" t="s">
        <v>74</v>
      </c>
      <c r="BP146" t="s">
        <v>74</v>
      </c>
      <c r="BQ146" t="s">
        <v>74</v>
      </c>
      <c r="BR146" t="s">
        <v>99</v>
      </c>
      <c r="BS146" t="s">
        <v>2573</v>
      </c>
      <c r="BT146" t="str">
        <f>HYPERLINK("https%3A%2F%2Fwww.webofscience.com%2Fwos%2Fwoscc%2Ffull-record%2FWOS:000189043200005","View Full Record in Web of Science")</f>
        <v>View Full Record in Web of Science</v>
      </c>
    </row>
    <row r="147" spans="1:72" x14ac:dyDescent="0.15">
      <c r="A147" t="s">
        <v>72</v>
      </c>
      <c r="B147" t="s">
        <v>2574</v>
      </c>
      <c r="C147" t="s">
        <v>74</v>
      </c>
      <c r="D147" t="s">
        <v>74</v>
      </c>
      <c r="E147" t="s">
        <v>74</v>
      </c>
      <c r="F147" t="s">
        <v>2574</v>
      </c>
      <c r="G147" t="s">
        <v>74</v>
      </c>
      <c r="H147" t="s">
        <v>74</v>
      </c>
      <c r="I147" t="s">
        <v>2575</v>
      </c>
      <c r="J147" t="s">
        <v>2576</v>
      </c>
      <c r="K147" t="s">
        <v>74</v>
      </c>
      <c r="L147" t="s">
        <v>74</v>
      </c>
      <c r="M147" t="s">
        <v>77</v>
      </c>
      <c r="N147" t="s">
        <v>78</v>
      </c>
      <c r="O147" t="s">
        <v>74</v>
      </c>
      <c r="P147" t="s">
        <v>74</v>
      </c>
      <c r="Q147" t="s">
        <v>74</v>
      </c>
      <c r="R147" t="s">
        <v>74</v>
      </c>
      <c r="S147" t="s">
        <v>74</v>
      </c>
      <c r="T147" t="s">
        <v>74</v>
      </c>
      <c r="U147" t="s">
        <v>2577</v>
      </c>
      <c r="V147" t="s">
        <v>2578</v>
      </c>
      <c r="W147" t="s">
        <v>2579</v>
      </c>
      <c r="X147" t="s">
        <v>2580</v>
      </c>
      <c r="Y147" t="s">
        <v>2581</v>
      </c>
      <c r="Z147" t="s">
        <v>2582</v>
      </c>
      <c r="AA147" t="s">
        <v>74</v>
      </c>
      <c r="AB147" t="s">
        <v>74</v>
      </c>
      <c r="AC147" t="s">
        <v>74</v>
      </c>
      <c r="AD147" t="s">
        <v>74</v>
      </c>
      <c r="AE147" t="s">
        <v>74</v>
      </c>
      <c r="AF147" t="s">
        <v>74</v>
      </c>
      <c r="AG147">
        <v>43</v>
      </c>
      <c r="AH147">
        <v>199</v>
      </c>
      <c r="AI147">
        <v>228</v>
      </c>
      <c r="AJ147">
        <v>1</v>
      </c>
      <c r="AK147">
        <v>47</v>
      </c>
      <c r="AL147" t="s">
        <v>2583</v>
      </c>
      <c r="AM147" t="s">
        <v>364</v>
      </c>
      <c r="AN147" t="s">
        <v>2584</v>
      </c>
      <c r="AO147" t="s">
        <v>2585</v>
      </c>
      <c r="AP147" t="s">
        <v>2586</v>
      </c>
      <c r="AQ147" t="s">
        <v>74</v>
      </c>
      <c r="AR147" t="s">
        <v>2587</v>
      </c>
      <c r="AS147" t="s">
        <v>2588</v>
      </c>
      <c r="AT147" t="s">
        <v>2589</v>
      </c>
      <c r="AU147">
        <v>2004</v>
      </c>
      <c r="AV147">
        <v>70</v>
      </c>
      <c r="AW147">
        <v>2</v>
      </c>
      <c r="AX147" t="s">
        <v>74</v>
      </c>
      <c r="AY147" t="s">
        <v>74</v>
      </c>
      <c r="AZ147" t="s">
        <v>74</v>
      </c>
      <c r="BA147" t="s">
        <v>74</v>
      </c>
      <c r="BB147">
        <v>781</v>
      </c>
      <c r="BC147">
        <v>789</v>
      </c>
      <c r="BD147" t="s">
        <v>74</v>
      </c>
      <c r="BE147" t="s">
        <v>2590</v>
      </c>
      <c r="BF147" t="str">
        <f>HYPERLINK("http://dx.doi.org/10.1128/AEM.70.2.781-789.2004","http://dx.doi.org/10.1128/AEM.70.2.781-789.2004")</f>
        <v>http://dx.doi.org/10.1128/AEM.70.2.781-789.2004</v>
      </c>
      <c r="BG147" t="s">
        <v>74</v>
      </c>
      <c r="BH147" t="s">
        <v>74</v>
      </c>
      <c r="BI147">
        <v>9</v>
      </c>
      <c r="BJ147" t="s">
        <v>2092</v>
      </c>
      <c r="BK147" t="s">
        <v>96</v>
      </c>
      <c r="BL147" t="s">
        <v>2092</v>
      </c>
      <c r="BM147" t="s">
        <v>2591</v>
      </c>
      <c r="BN147">
        <v>14766555</v>
      </c>
      <c r="BO147" t="s">
        <v>479</v>
      </c>
      <c r="BP147" t="s">
        <v>74</v>
      </c>
      <c r="BQ147" t="s">
        <v>74</v>
      </c>
      <c r="BR147" t="s">
        <v>99</v>
      </c>
      <c r="BS147" t="s">
        <v>2592</v>
      </c>
      <c r="BT147" t="str">
        <f>HYPERLINK("https%3A%2F%2Fwww.webofscience.com%2Fwos%2Fwoscc%2Ffull-record%2FWOS:000188854900019","View Full Record in Web of Science")</f>
        <v>View Full Record in Web of Science</v>
      </c>
    </row>
    <row r="148" spans="1:72" x14ac:dyDescent="0.15">
      <c r="A148" t="s">
        <v>72</v>
      </c>
      <c r="B148" t="s">
        <v>2593</v>
      </c>
      <c r="C148" t="s">
        <v>74</v>
      </c>
      <c r="D148" t="s">
        <v>74</v>
      </c>
      <c r="E148" t="s">
        <v>74</v>
      </c>
      <c r="F148" t="s">
        <v>2593</v>
      </c>
      <c r="G148" t="s">
        <v>74</v>
      </c>
      <c r="H148" t="s">
        <v>74</v>
      </c>
      <c r="I148" t="s">
        <v>2594</v>
      </c>
      <c r="J148" t="s">
        <v>2595</v>
      </c>
      <c r="K148" t="s">
        <v>74</v>
      </c>
      <c r="L148" t="s">
        <v>74</v>
      </c>
      <c r="M148" t="s">
        <v>77</v>
      </c>
      <c r="N148" t="s">
        <v>78</v>
      </c>
      <c r="O148" t="s">
        <v>74</v>
      </c>
      <c r="P148" t="s">
        <v>74</v>
      </c>
      <c r="Q148" t="s">
        <v>74</v>
      </c>
      <c r="R148" t="s">
        <v>74</v>
      </c>
      <c r="S148" t="s">
        <v>74</v>
      </c>
      <c r="T148" t="s">
        <v>2596</v>
      </c>
      <c r="U148" t="s">
        <v>2597</v>
      </c>
      <c r="V148" t="s">
        <v>2598</v>
      </c>
      <c r="W148" t="s">
        <v>2599</v>
      </c>
      <c r="X148" t="s">
        <v>2600</v>
      </c>
      <c r="Y148" t="s">
        <v>2601</v>
      </c>
      <c r="Z148" t="s">
        <v>74</v>
      </c>
      <c r="AA148" t="s">
        <v>2602</v>
      </c>
      <c r="AB148" t="s">
        <v>2603</v>
      </c>
      <c r="AC148" t="s">
        <v>74</v>
      </c>
      <c r="AD148" t="s">
        <v>74</v>
      </c>
      <c r="AE148" t="s">
        <v>74</v>
      </c>
      <c r="AF148" t="s">
        <v>74</v>
      </c>
      <c r="AG148">
        <v>20</v>
      </c>
      <c r="AH148">
        <v>47</v>
      </c>
      <c r="AI148">
        <v>66</v>
      </c>
      <c r="AJ148">
        <v>0</v>
      </c>
      <c r="AK148">
        <v>22</v>
      </c>
      <c r="AL148" t="s">
        <v>1235</v>
      </c>
      <c r="AM148" t="s">
        <v>214</v>
      </c>
      <c r="AN148" t="s">
        <v>1236</v>
      </c>
      <c r="AO148" t="s">
        <v>2604</v>
      </c>
      <c r="AP148" t="s">
        <v>74</v>
      </c>
      <c r="AQ148" t="s">
        <v>74</v>
      </c>
      <c r="AR148" t="s">
        <v>2605</v>
      </c>
      <c r="AS148" t="s">
        <v>2606</v>
      </c>
      <c r="AT148" t="s">
        <v>2589</v>
      </c>
      <c r="AU148">
        <v>2004</v>
      </c>
      <c r="AV148">
        <v>10</v>
      </c>
      <c r="AW148">
        <v>1</v>
      </c>
      <c r="AX148" t="s">
        <v>74</v>
      </c>
      <c r="AY148" t="s">
        <v>74</v>
      </c>
      <c r="AZ148" t="s">
        <v>74</v>
      </c>
      <c r="BA148" t="s">
        <v>74</v>
      </c>
      <c r="BB148">
        <v>9</v>
      </c>
      <c r="BC148">
        <v>13</v>
      </c>
      <c r="BD148" t="s">
        <v>74</v>
      </c>
      <c r="BE148" t="s">
        <v>2607</v>
      </c>
      <c r="BF148" t="str">
        <f>HYPERLINK("http://dx.doi.org/10.1046/j.1365-2095.2003.00273.x","http://dx.doi.org/10.1046/j.1365-2095.2003.00273.x")</f>
        <v>http://dx.doi.org/10.1046/j.1365-2095.2003.00273.x</v>
      </c>
      <c r="BG148" t="s">
        <v>74</v>
      </c>
      <c r="BH148" t="s">
        <v>74</v>
      </c>
      <c r="BI148">
        <v>5</v>
      </c>
      <c r="BJ148" t="s">
        <v>2608</v>
      </c>
      <c r="BK148" t="s">
        <v>96</v>
      </c>
      <c r="BL148" t="s">
        <v>2608</v>
      </c>
      <c r="BM148" t="s">
        <v>2609</v>
      </c>
      <c r="BN148" t="s">
        <v>74</v>
      </c>
      <c r="BO148" t="s">
        <v>2610</v>
      </c>
      <c r="BP148" t="s">
        <v>74</v>
      </c>
      <c r="BQ148" t="s">
        <v>74</v>
      </c>
      <c r="BR148" t="s">
        <v>99</v>
      </c>
      <c r="BS148" t="s">
        <v>2611</v>
      </c>
      <c r="BT148" t="str">
        <f>HYPERLINK("https%3A%2F%2Fwww.webofscience.com%2Fwos%2Fwoscc%2Ffull-record%2FWOS:000187892700002","View Full Record in Web of Science")</f>
        <v>View Full Record in Web of Science</v>
      </c>
    </row>
    <row r="149" spans="1:72" x14ac:dyDescent="0.15">
      <c r="A149" t="s">
        <v>72</v>
      </c>
      <c r="B149" t="s">
        <v>2612</v>
      </c>
      <c r="C149" t="s">
        <v>74</v>
      </c>
      <c r="D149" t="s">
        <v>74</v>
      </c>
      <c r="E149" t="s">
        <v>74</v>
      </c>
      <c r="F149" t="s">
        <v>2612</v>
      </c>
      <c r="G149" t="s">
        <v>74</v>
      </c>
      <c r="H149" t="s">
        <v>74</v>
      </c>
      <c r="I149" t="s">
        <v>2613</v>
      </c>
      <c r="J149" t="s">
        <v>2614</v>
      </c>
      <c r="K149" t="s">
        <v>74</v>
      </c>
      <c r="L149" t="s">
        <v>74</v>
      </c>
      <c r="M149" t="s">
        <v>77</v>
      </c>
      <c r="N149" t="s">
        <v>78</v>
      </c>
      <c r="O149" t="s">
        <v>74</v>
      </c>
      <c r="P149" t="s">
        <v>74</v>
      </c>
      <c r="Q149" t="s">
        <v>74</v>
      </c>
      <c r="R149" t="s">
        <v>74</v>
      </c>
      <c r="S149" t="s">
        <v>74</v>
      </c>
      <c r="T149" t="s">
        <v>2615</v>
      </c>
      <c r="U149" t="s">
        <v>2616</v>
      </c>
      <c r="V149" t="s">
        <v>2617</v>
      </c>
      <c r="W149" t="s">
        <v>2618</v>
      </c>
      <c r="X149" t="s">
        <v>2619</v>
      </c>
      <c r="Y149" t="s">
        <v>2620</v>
      </c>
      <c r="Z149" t="s">
        <v>2621</v>
      </c>
      <c r="AA149" t="s">
        <v>2622</v>
      </c>
      <c r="AB149" t="s">
        <v>2623</v>
      </c>
      <c r="AC149" t="s">
        <v>74</v>
      </c>
      <c r="AD149" t="s">
        <v>74</v>
      </c>
      <c r="AE149" t="s">
        <v>74</v>
      </c>
      <c r="AF149" t="s">
        <v>74</v>
      </c>
      <c r="AG149">
        <v>49</v>
      </c>
      <c r="AH149">
        <v>69</v>
      </c>
      <c r="AI149">
        <v>81</v>
      </c>
      <c r="AJ149">
        <v>0</v>
      </c>
      <c r="AK149">
        <v>19</v>
      </c>
      <c r="AL149" t="s">
        <v>198</v>
      </c>
      <c r="AM149" t="s">
        <v>178</v>
      </c>
      <c r="AN149" t="s">
        <v>179</v>
      </c>
      <c r="AO149" t="s">
        <v>2624</v>
      </c>
      <c r="AP149" t="s">
        <v>2625</v>
      </c>
      <c r="AQ149" t="s">
        <v>74</v>
      </c>
      <c r="AR149" t="s">
        <v>2626</v>
      </c>
      <c r="AS149" t="s">
        <v>2627</v>
      </c>
      <c r="AT149" t="s">
        <v>2589</v>
      </c>
      <c r="AU149">
        <v>2004</v>
      </c>
      <c r="AV149">
        <v>55</v>
      </c>
      <c r="AW149">
        <v>2</v>
      </c>
      <c r="AX149" t="s">
        <v>74</v>
      </c>
      <c r="AY149" t="s">
        <v>74</v>
      </c>
      <c r="AZ149" t="s">
        <v>74</v>
      </c>
      <c r="BA149" t="s">
        <v>74</v>
      </c>
      <c r="BB149">
        <v>79</v>
      </c>
      <c r="BC149">
        <v>89</v>
      </c>
      <c r="BD149" t="s">
        <v>74</v>
      </c>
      <c r="BE149" t="s">
        <v>2628</v>
      </c>
      <c r="BF149" t="str">
        <f>HYPERLINK("http://dx.doi.org/10.1002/arch.10126","http://dx.doi.org/10.1002/arch.10126")</f>
        <v>http://dx.doi.org/10.1002/arch.10126</v>
      </c>
      <c r="BG149" t="s">
        <v>74</v>
      </c>
      <c r="BH149" t="s">
        <v>74</v>
      </c>
      <c r="BI149">
        <v>11</v>
      </c>
      <c r="BJ149" t="s">
        <v>2629</v>
      </c>
      <c r="BK149" t="s">
        <v>96</v>
      </c>
      <c r="BL149" t="s">
        <v>2629</v>
      </c>
      <c r="BM149" t="s">
        <v>2630</v>
      </c>
      <c r="BN149">
        <v>14745825</v>
      </c>
      <c r="BO149" t="s">
        <v>74</v>
      </c>
      <c r="BP149" t="s">
        <v>74</v>
      </c>
      <c r="BQ149" t="s">
        <v>74</v>
      </c>
      <c r="BR149" t="s">
        <v>99</v>
      </c>
      <c r="BS149" t="s">
        <v>2631</v>
      </c>
      <c r="BT149" t="str">
        <f>HYPERLINK("https%3A%2F%2Fwww.webofscience.com%2Fwos%2Fwoscc%2Ffull-record%2FWOS:000188705500003","View Full Record in Web of Science")</f>
        <v>View Full Record in Web of Science</v>
      </c>
    </row>
    <row r="150" spans="1:72" x14ac:dyDescent="0.15">
      <c r="A150" t="s">
        <v>72</v>
      </c>
      <c r="B150" t="s">
        <v>2632</v>
      </c>
      <c r="C150" t="s">
        <v>74</v>
      </c>
      <c r="D150" t="s">
        <v>74</v>
      </c>
      <c r="E150" t="s">
        <v>74</v>
      </c>
      <c r="F150" t="s">
        <v>2632</v>
      </c>
      <c r="G150" t="s">
        <v>74</v>
      </c>
      <c r="H150" t="s">
        <v>74</v>
      </c>
      <c r="I150" t="s">
        <v>2633</v>
      </c>
      <c r="J150" t="s">
        <v>2634</v>
      </c>
      <c r="K150" t="s">
        <v>74</v>
      </c>
      <c r="L150" t="s">
        <v>74</v>
      </c>
      <c r="M150" t="s">
        <v>77</v>
      </c>
      <c r="N150" t="s">
        <v>78</v>
      </c>
      <c r="O150" t="s">
        <v>74</v>
      </c>
      <c r="P150" t="s">
        <v>74</v>
      </c>
      <c r="Q150" t="s">
        <v>74</v>
      </c>
      <c r="R150" t="s">
        <v>74</v>
      </c>
      <c r="S150" t="s">
        <v>74</v>
      </c>
      <c r="T150" t="s">
        <v>74</v>
      </c>
      <c r="U150" t="s">
        <v>2635</v>
      </c>
      <c r="V150" t="s">
        <v>2636</v>
      </c>
      <c r="W150" t="s">
        <v>2637</v>
      </c>
      <c r="X150" t="s">
        <v>2638</v>
      </c>
      <c r="Y150" t="s">
        <v>2639</v>
      </c>
      <c r="Z150" t="s">
        <v>2640</v>
      </c>
      <c r="AA150" t="s">
        <v>2641</v>
      </c>
      <c r="AB150" t="s">
        <v>74</v>
      </c>
      <c r="AC150" t="s">
        <v>74</v>
      </c>
      <c r="AD150" t="s">
        <v>74</v>
      </c>
      <c r="AE150" t="s">
        <v>74</v>
      </c>
      <c r="AF150" t="s">
        <v>74</v>
      </c>
      <c r="AG150">
        <v>23</v>
      </c>
      <c r="AH150">
        <v>91</v>
      </c>
      <c r="AI150">
        <v>105</v>
      </c>
      <c r="AJ150">
        <v>0</v>
      </c>
      <c r="AK150">
        <v>60</v>
      </c>
      <c r="AL150" t="s">
        <v>2642</v>
      </c>
      <c r="AM150" t="s">
        <v>2643</v>
      </c>
      <c r="AN150" t="s">
        <v>2644</v>
      </c>
      <c r="AO150" t="s">
        <v>2645</v>
      </c>
      <c r="AP150" t="s">
        <v>2646</v>
      </c>
      <c r="AQ150" t="s">
        <v>74</v>
      </c>
      <c r="AR150" t="s">
        <v>2647</v>
      </c>
      <c r="AS150" t="s">
        <v>2648</v>
      </c>
      <c r="AT150" t="s">
        <v>2589</v>
      </c>
      <c r="AU150">
        <v>2004</v>
      </c>
      <c r="AV150">
        <v>36</v>
      </c>
      <c r="AW150">
        <v>1</v>
      </c>
      <c r="AX150" t="s">
        <v>74</v>
      </c>
      <c r="AY150" t="s">
        <v>74</v>
      </c>
      <c r="AZ150" t="s">
        <v>74</v>
      </c>
      <c r="BA150" t="s">
        <v>74</v>
      </c>
      <c r="BB150">
        <v>1</v>
      </c>
      <c r="BC150">
        <v>10</v>
      </c>
      <c r="BD150" t="s">
        <v>74</v>
      </c>
      <c r="BE150" t="s">
        <v>2649</v>
      </c>
      <c r="BF150" t="str">
        <f>HYPERLINK("http://dx.doi.org/10.1657/1523-0430(2004)036[0001:TFAVCA]2.0.CO;2","http://dx.doi.org/10.1657/1523-0430(2004)036[0001:TFAVCA]2.0.CO;2")</f>
        <v>http://dx.doi.org/10.1657/1523-0430(2004)036[0001:TFAVCA]2.0.CO;2</v>
      </c>
      <c r="BG150" t="s">
        <v>74</v>
      </c>
      <c r="BH150" t="s">
        <v>74</v>
      </c>
      <c r="BI150">
        <v>10</v>
      </c>
      <c r="BJ150" t="s">
        <v>2650</v>
      </c>
      <c r="BK150" t="s">
        <v>96</v>
      </c>
      <c r="BL150" t="s">
        <v>2651</v>
      </c>
      <c r="BM150" t="s">
        <v>2652</v>
      </c>
      <c r="BN150" t="s">
        <v>74</v>
      </c>
      <c r="BO150" t="s">
        <v>156</v>
      </c>
      <c r="BP150" t="s">
        <v>74</v>
      </c>
      <c r="BQ150" t="s">
        <v>74</v>
      </c>
      <c r="BR150" t="s">
        <v>99</v>
      </c>
      <c r="BS150" t="s">
        <v>2653</v>
      </c>
      <c r="BT150" t="str">
        <f>HYPERLINK("https%3A%2F%2Fwww.webofscience.com%2Fwos%2Fwoscc%2Ffull-record%2FWOS:000222951100001","View Full Record in Web of Science")</f>
        <v>View Full Record in Web of Science</v>
      </c>
    </row>
    <row r="151" spans="1:72" x14ac:dyDescent="0.15">
      <c r="A151" t="s">
        <v>72</v>
      </c>
      <c r="B151" t="s">
        <v>2654</v>
      </c>
      <c r="C151" t="s">
        <v>74</v>
      </c>
      <c r="D151" t="s">
        <v>74</v>
      </c>
      <c r="E151" t="s">
        <v>74</v>
      </c>
      <c r="F151" t="s">
        <v>2654</v>
      </c>
      <c r="G151" t="s">
        <v>74</v>
      </c>
      <c r="H151" t="s">
        <v>74</v>
      </c>
      <c r="I151" t="s">
        <v>2655</v>
      </c>
      <c r="J151" t="s">
        <v>2634</v>
      </c>
      <c r="K151" t="s">
        <v>74</v>
      </c>
      <c r="L151" t="s">
        <v>74</v>
      </c>
      <c r="M151" t="s">
        <v>77</v>
      </c>
      <c r="N151" t="s">
        <v>78</v>
      </c>
      <c r="O151" t="s">
        <v>74</v>
      </c>
      <c r="P151" t="s">
        <v>74</v>
      </c>
      <c r="Q151" t="s">
        <v>74</v>
      </c>
      <c r="R151" t="s">
        <v>74</v>
      </c>
      <c r="S151" t="s">
        <v>74</v>
      </c>
      <c r="T151" t="s">
        <v>74</v>
      </c>
      <c r="U151" t="s">
        <v>2656</v>
      </c>
      <c r="V151" t="s">
        <v>2657</v>
      </c>
      <c r="W151" t="s">
        <v>2658</v>
      </c>
      <c r="X151" t="s">
        <v>2659</v>
      </c>
      <c r="Y151" t="s">
        <v>2660</v>
      </c>
      <c r="Z151" t="s">
        <v>2661</v>
      </c>
      <c r="AA151" t="s">
        <v>2662</v>
      </c>
      <c r="AB151" t="s">
        <v>74</v>
      </c>
      <c r="AC151" t="s">
        <v>74</v>
      </c>
      <c r="AD151" t="s">
        <v>74</v>
      </c>
      <c r="AE151" t="s">
        <v>74</v>
      </c>
      <c r="AF151" t="s">
        <v>74</v>
      </c>
      <c r="AG151">
        <v>70</v>
      </c>
      <c r="AH151">
        <v>31</v>
      </c>
      <c r="AI151">
        <v>36</v>
      </c>
      <c r="AJ151">
        <v>2</v>
      </c>
      <c r="AK151">
        <v>40</v>
      </c>
      <c r="AL151" t="s">
        <v>2642</v>
      </c>
      <c r="AM151" t="s">
        <v>2643</v>
      </c>
      <c r="AN151" t="s">
        <v>2644</v>
      </c>
      <c r="AO151" t="s">
        <v>2645</v>
      </c>
      <c r="AP151" t="s">
        <v>2646</v>
      </c>
      <c r="AQ151" t="s">
        <v>74</v>
      </c>
      <c r="AR151" t="s">
        <v>2647</v>
      </c>
      <c r="AS151" t="s">
        <v>2648</v>
      </c>
      <c r="AT151" t="s">
        <v>2589</v>
      </c>
      <c r="AU151">
        <v>2004</v>
      </c>
      <c r="AV151">
        <v>36</v>
      </c>
      <c r="AW151">
        <v>1</v>
      </c>
      <c r="AX151" t="s">
        <v>74</v>
      </c>
      <c r="AY151" t="s">
        <v>74</v>
      </c>
      <c r="AZ151" t="s">
        <v>74</v>
      </c>
      <c r="BA151" t="s">
        <v>74</v>
      </c>
      <c r="BB151">
        <v>11</v>
      </c>
      <c r="BC151">
        <v>20</v>
      </c>
      <c r="BD151" t="s">
        <v>74</v>
      </c>
      <c r="BE151" t="s">
        <v>2663</v>
      </c>
      <c r="BF151" t="str">
        <f>HYPERLINK("http://dx.doi.org/10.1657/1523-0430(2004)036[0011:AGCEAN]2.0.CO;2","http://dx.doi.org/10.1657/1523-0430(2004)036[0011:AGCEAN]2.0.CO;2")</f>
        <v>http://dx.doi.org/10.1657/1523-0430(2004)036[0011:AGCEAN]2.0.CO;2</v>
      </c>
      <c r="BG151" t="s">
        <v>74</v>
      </c>
      <c r="BH151" t="s">
        <v>74</v>
      </c>
      <c r="BI151">
        <v>10</v>
      </c>
      <c r="BJ151" t="s">
        <v>2650</v>
      </c>
      <c r="BK151" t="s">
        <v>96</v>
      </c>
      <c r="BL151" t="s">
        <v>2651</v>
      </c>
      <c r="BM151" t="s">
        <v>2652</v>
      </c>
      <c r="BN151" t="s">
        <v>74</v>
      </c>
      <c r="BO151" t="s">
        <v>74</v>
      </c>
      <c r="BP151" t="s">
        <v>74</v>
      </c>
      <c r="BQ151" t="s">
        <v>74</v>
      </c>
      <c r="BR151" t="s">
        <v>99</v>
      </c>
      <c r="BS151" t="s">
        <v>2664</v>
      </c>
      <c r="BT151" t="str">
        <f>HYPERLINK("https%3A%2F%2Fwww.webofscience.com%2Fwos%2Fwoscc%2Ffull-record%2FWOS:000222951100002","View Full Record in Web of Science")</f>
        <v>View Full Record in Web of Science</v>
      </c>
    </row>
    <row r="152" spans="1:72" x14ac:dyDescent="0.15">
      <c r="A152" t="s">
        <v>72</v>
      </c>
      <c r="B152" t="s">
        <v>2665</v>
      </c>
      <c r="C152" t="s">
        <v>74</v>
      </c>
      <c r="D152" t="s">
        <v>74</v>
      </c>
      <c r="E152" t="s">
        <v>74</v>
      </c>
      <c r="F152" t="s">
        <v>2665</v>
      </c>
      <c r="G152" t="s">
        <v>74</v>
      </c>
      <c r="H152" t="s">
        <v>74</v>
      </c>
      <c r="I152" t="s">
        <v>2666</v>
      </c>
      <c r="J152" t="s">
        <v>2634</v>
      </c>
      <c r="K152" t="s">
        <v>74</v>
      </c>
      <c r="L152" t="s">
        <v>74</v>
      </c>
      <c r="M152" t="s">
        <v>77</v>
      </c>
      <c r="N152" t="s">
        <v>78</v>
      </c>
      <c r="O152" t="s">
        <v>74</v>
      </c>
      <c r="P152" t="s">
        <v>74</v>
      </c>
      <c r="Q152" t="s">
        <v>74</v>
      </c>
      <c r="R152" t="s">
        <v>74</v>
      </c>
      <c r="S152" t="s">
        <v>74</v>
      </c>
      <c r="T152" t="s">
        <v>74</v>
      </c>
      <c r="U152" t="s">
        <v>2667</v>
      </c>
      <c r="V152" t="s">
        <v>2668</v>
      </c>
      <c r="W152" t="s">
        <v>2669</v>
      </c>
      <c r="X152" t="s">
        <v>2670</v>
      </c>
      <c r="Y152" t="s">
        <v>2671</v>
      </c>
      <c r="Z152" t="s">
        <v>74</v>
      </c>
      <c r="AA152" t="s">
        <v>74</v>
      </c>
      <c r="AB152" t="s">
        <v>2672</v>
      </c>
      <c r="AC152" t="s">
        <v>74</v>
      </c>
      <c r="AD152" t="s">
        <v>74</v>
      </c>
      <c r="AE152" t="s">
        <v>74</v>
      </c>
      <c r="AF152" t="s">
        <v>74</v>
      </c>
      <c r="AG152">
        <v>48</v>
      </c>
      <c r="AH152">
        <v>42</v>
      </c>
      <c r="AI152">
        <v>45</v>
      </c>
      <c r="AJ152">
        <v>0</v>
      </c>
      <c r="AK152">
        <v>27</v>
      </c>
      <c r="AL152" t="s">
        <v>2642</v>
      </c>
      <c r="AM152" t="s">
        <v>2643</v>
      </c>
      <c r="AN152" t="s">
        <v>2644</v>
      </c>
      <c r="AO152" t="s">
        <v>2645</v>
      </c>
      <c r="AP152" t="s">
        <v>2646</v>
      </c>
      <c r="AQ152" t="s">
        <v>74</v>
      </c>
      <c r="AR152" t="s">
        <v>2647</v>
      </c>
      <c r="AS152" t="s">
        <v>2648</v>
      </c>
      <c r="AT152" t="s">
        <v>2589</v>
      </c>
      <c r="AU152">
        <v>2004</v>
      </c>
      <c r="AV152">
        <v>36</v>
      </c>
      <c r="AW152">
        <v>1</v>
      </c>
      <c r="AX152" t="s">
        <v>74</v>
      </c>
      <c r="AY152" t="s">
        <v>74</v>
      </c>
      <c r="AZ152" t="s">
        <v>74</v>
      </c>
      <c r="BA152" t="s">
        <v>74</v>
      </c>
      <c r="BB152">
        <v>21</v>
      </c>
      <c r="BC152">
        <v>32</v>
      </c>
      <c r="BD152" t="s">
        <v>74</v>
      </c>
      <c r="BE152" t="s">
        <v>2673</v>
      </c>
      <c r="BF152" t="str">
        <f>HYPERLINK("http://dx.doi.org/10.1657/1523-0430(2004)036[0021:ROVDTS]2.0.CO;2","http://dx.doi.org/10.1657/1523-0430(2004)036[0021:ROVDTS]2.0.CO;2")</f>
        <v>http://dx.doi.org/10.1657/1523-0430(2004)036[0021:ROVDTS]2.0.CO;2</v>
      </c>
      <c r="BG152" t="s">
        <v>74</v>
      </c>
      <c r="BH152" t="s">
        <v>74</v>
      </c>
      <c r="BI152">
        <v>12</v>
      </c>
      <c r="BJ152" t="s">
        <v>2650</v>
      </c>
      <c r="BK152" t="s">
        <v>96</v>
      </c>
      <c r="BL152" t="s">
        <v>2651</v>
      </c>
      <c r="BM152" t="s">
        <v>2652</v>
      </c>
      <c r="BN152" t="s">
        <v>74</v>
      </c>
      <c r="BO152" t="s">
        <v>156</v>
      </c>
      <c r="BP152" t="s">
        <v>74</v>
      </c>
      <c r="BQ152" t="s">
        <v>74</v>
      </c>
      <c r="BR152" t="s">
        <v>99</v>
      </c>
      <c r="BS152" t="s">
        <v>2674</v>
      </c>
      <c r="BT152" t="str">
        <f>HYPERLINK("https%3A%2F%2Fwww.webofscience.com%2Fwos%2Fwoscc%2Ffull-record%2FWOS:000222951100003","View Full Record in Web of Science")</f>
        <v>View Full Record in Web of Science</v>
      </c>
    </row>
    <row r="153" spans="1:72" x14ac:dyDescent="0.15">
      <c r="A153" t="s">
        <v>72</v>
      </c>
      <c r="B153" t="s">
        <v>2675</v>
      </c>
      <c r="C153" t="s">
        <v>74</v>
      </c>
      <c r="D153" t="s">
        <v>74</v>
      </c>
      <c r="E153" t="s">
        <v>74</v>
      </c>
      <c r="F153" t="s">
        <v>2675</v>
      </c>
      <c r="G153" t="s">
        <v>74</v>
      </c>
      <c r="H153" t="s">
        <v>74</v>
      </c>
      <c r="I153" t="s">
        <v>2676</v>
      </c>
      <c r="J153" t="s">
        <v>2634</v>
      </c>
      <c r="K153" t="s">
        <v>74</v>
      </c>
      <c r="L153" t="s">
        <v>74</v>
      </c>
      <c r="M153" t="s">
        <v>77</v>
      </c>
      <c r="N153" t="s">
        <v>78</v>
      </c>
      <c r="O153" t="s">
        <v>74</v>
      </c>
      <c r="P153" t="s">
        <v>74</v>
      </c>
      <c r="Q153" t="s">
        <v>74</v>
      </c>
      <c r="R153" t="s">
        <v>74</v>
      </c>
      <c r="S153" t="s">
        <v>74</v>
      </c>
      <c r="T153" t="s">
        <v>74</v>
      </c>
      <c r="U153" t="s">
        <v>2677</v>
      </c>
      <c r="V153" t="s">
        <v>2678</v>
      </c>
      <c r="W153" t="s">
        <v>2679</v>
      </c>
      <c r="X153" t="s">
        <v>2680</v>
      </c>
      <c r="Y153" t="s">
        <v>2681</v>
      </c>
      <c r="Z153" t="s">
        <v>2682</v>
      </c>
      <c r="AA153" t="s">
        <v>74</v>
      </c>
      <c r="AB153" t="s">
        <v>74</v>
      </c>
      <c r="AC153" t="s">
        <v>74</v>
      </c>
      <c r="AD153" t="s">
        <v>74</v>
      </c>
      <c r="AE153" t="s">
        <v>74</v>
      </c>
      <c r="AF153" t="s">
        <v>74</v>
      </c>
      <c r="AG153">
        <v>49</v>
      </c>
      <c r="AH153">
        <v>22</v>
      </c>
      <c r="AI153">
        <v>27</v>
      </c>
      <c r="AJ153">
        <v>0</v>
      </c>
      <c r="AK153">
        <v>10</v>
      </c>
      <c r="AL153" t="s">
        <v>2683</v>
      </c>
      <c r="AM153" t="s">
        <v>1313</v>
      </c>
      <c r="AN153" t="s">
        <v>2684</v>
      </c>
      <c r="AO153" t="s">
        <v>2645</v>
      </c>
      <c r="AP153" t="s">
        <v>74</v>
      </c>
      <c r="AQ153" t="s">
        <v>74</v>
      </c>
      <c r="AR153" t="s">
        <v>2647</v>
      </c>
      <c r="AS153" t="s">
        <v>2648</v>
      </c>
      <c r="AT153" t="s">
        <v>2589</v>
      </c>
      <c r="AU153">
        <v>2004</v>
      </c>
      <c r="AV153">
        <v>36</v>
      </c>
      <c r="AW153">
        <v>1</v>
      </c>
      <c r="AX153" t="s">
        <v>74</v>
      </c>
      <c r="AY153" t="s">
        <v>74</v>
      </c>
      <c r="AZ153" t="s">
        <v>74</v>
      </c>
      <c r="BA153" t="s">
        <v>74</v>
      </c>
      <c r="BB153">
        <v>33</v>
      </c>
      <c r="BC153">
        <v>41</v>
      </c>
      <c r="BD153" t="s">
        <v>74</v>
      </c>
      <c r="BE153" t="s">
        <v>2685</v>
      </c>
      <c r="BF153" t="str">
        <f>HYPERLINK("http://dx.doi.org/10.1657/1523-0430(2004)036[0033:TPLASO]2.0.CO;2","http://dx.doi.org/10.1657/1523-0430(2004)036[0033:TPLASO]2.0.CO;2")</f>
        <v>http://dx.doi.org/10.1657/1523-0430(2004)036[0033:TPLASO]2.0.CO;2</v>
      </c>
      <c r="BG153" t="s">
        <v>74</v>
      </c>
      <c r="BH153" t="s">
        <v>74</v>
      </c>
      <c r="BI153">
        <v>9</v>
      </c>
      <c r="BJ153" t="s">
        <v>2650</v>
      </c>
      <c r="BK153" t="s">
        <v>96</v>
      </c>
      <c r="BL153" t="s">
        <v>2651</v>
      </c>
      <c r="BM153" t="s">
        <v>2652</v>
      </c>
      <c r="BN153" t="s">
        <v>74</v>
      </c>
      <c r="BO153" t="s">
        <v>156</v>
      </c>
      <c r="BP153" t="s">
        <v>74</v>
      </c>
      <c r="BQ153" t="s">
        <v>74</v>
      </c>
      <c r="BR153" t="s">
        <v>99</v>
      </c>
      <c r="BS153" t="s">
        <v>2686</v>
      </c>
      <c r="BT153" t="str">
        <f>HYPERLINK("https%3A%2F%2Fwww.webofscience.com%2Fwos%2Fwoscc%2Ffull-record%2FWOS:000222951100004","View Full Record in Web of Science")</f>
        <v>View Full Record in Web of Science</v>
      </c>
    </row>
    <row r="154" spans="1:72" x14ac:dyDescent="0.15">
      <c r="A154" t="s">
        <v>72</v>
      </c>
      <c r="B154" t="s">
        <v>2687</v>
      </c>
      <c r="C154" t="s">
        <v>74</v>
      </c>
      <c r="D154" t="s">
        <v>74</v>
      </c>
      <c r="E154" t="s">
        <v>74</v>
      </c>
      <c r="F154" t="s">
        <v>2687</v>
      </c>
      <c r="G154" t="s">
        <v>74</v>
      </c>
      <c r="H154" t="s">
        <v>74</v>
      </c>
      <c r="I154" t="s">
        <v>2688</v>
      </c>
      <c r="J154" t="s">
        <v>2634</v>
      </c>
      <c r="K154" t="s">
        <v>74</v>
      </c>
      <c r="L154" t="s">
        <v>74</v>
      </c>
      <c r="M154" t="s">
        <v>77</v>
      </c>
      <c r="N154" t="s">
        <v>78</v>
      </c>
      <c r="O154" t="s">
        <v>74</v>
      </c>
      <c r="P154" t="s">
        <v>74</v>
      </c>
      <c r="Q154" t="s">
        <v>74</v>
      </c>
      <c r="R154" t="s">
        <v>74</v>
      </c>
      <c r="S154" t="s">
        <v>74</v>
      </c>
      <c r="T154" t="s">
        <v>74</v>
      </c>
      <c r="U154" t="s">
        <v>2689</v>
      </c>
      <c r="V154" t="s">
        <v>2690</v>
      </c>
      <c r="W154" t="s">
        <v>2691</v>
      </c>
      <c r="X154" t="s">
        <v>2692</v>
      </c>
      <c r="Y154" t="s">
        <v>2693</v>
      </c>
      <c r="Z154" t="s">
        <v>74</v>
      </c>
      <c r="AA154" t="s">
        <v>74</v>
      </c>
      <c r="AB154" t="s">
        <v>74</v>
      </c>
      <c r="AC154" t="s">
        <v>74</v>
      </c>
      <c r="AD154" t="s">
        <v>74</v>
      </c>
      <c r="AE154" t="s">
        <v>74</v>
      </c>
      <c r="AF154" t="s">
        <v>74</v>
      </c>
      <c r="AG154">
        <v>56</v>
      </c>
      <c r="AH154">
        <v>7</v>
      </c>
      <c r="AI154">
        <v>7</v>
      </c>
      <c r="AJ154">
        <v>0</v>
      </c>
      <c r="AK154">
        <v>6</v>
      </c>
      <c r="AL154" t="s">
        <v>2642</v>
      </c>
      <c r="AM154" t="s">
        <v>2643</v>
      </c>
      <c r="AN154" t="s">
        <v>2644</v>
      </c>
      <c r="AO154" t="s">
        <v>2645</v>
      </c>
      <c r="AP154" t="s">
        <v>2646</v>
      </c>
      <c r="AQ154" t="s">
        <v>74</v>
      </c>
      <c r="AR154" t="s">
        <v>2647</v>
      </c>
      <c r="AS154" t="s">
        <v>2648</v>
      </c>
      <c r="AT154" t="s">
        <v>2589</v>
      </c>
      <c r="AU154">
        <v>2004</v>
      </c>
      <c r="AV154">
        <v>36</v>
      </c>
      <c r="AW154">
        <v>1</v>
      </c>
      <c r="AX154" t="s">
        <v>74</v>
      </c>
      <c r="AY154" t="s">
        <v>74</v>
      </c>
      <c r="AZ154" t="s">
        <v>74</v>
      </c>
      <c r="BA154" t="s">
        <v>74</v>
      </c>
      <c r="BB154">
        <v>42</v>
      </c>
      <c r="BC154">
        <v>48</v>
      </c>
      <c r="BD154" t="s">
        <v>74</v>
      </c>
      <c r="BE154" t="s">
        <v>2694</v>
      </c>
      <c r="BF154" t="str">
        <f>HYPERLINK("http://dx.doi.org/10.1657/1523-0430(2004)036[0042:SVDITS]2.0.CO;2","http://dx.doi.org/10.1657/1523-0430(2004)036[0042:SVDITS]2.0.CO;2")</f>
        <v>http://dx.doi.org/10.1657/1523-0430(2004)036[0042:SVDITS]2.0.CO;2</v>
      </c>
      <c r="BG154" t="s">
        <v>74</v>
      </c>
      <c r="BH154" t="s">
        <v>74</v>
      </c>
      <c r="BI154">
        <v>7</v>
      </c>
      <c r="BJ154" t="s">
        <v>2650</v>
      </c>
      <c r="BK154" t="s">
        <v>96</v>
      </c>
      <c r="BL154" t="s">
        <v>2651</v>
      </c>
      <c r="BM154" t="s">
        <v>2652</v>
      </c>
      <c r="BN154" t="s">
        <v>74</v>
      </c>
      <c r="BO154" t="s">
        <v>156</v>
      </c>
      <c r="BP154" t="s">
        <v>74</v>
      </c>
      <c r="BQ154" t="s">
        <v>74</v>
      </c>
      <c r="BR154" t="s">
        <v>99</v>
      </c>
      <c r="BS154" t="s">
        <v>2695</v>
      </c>
      <c r="BT154" t="str">
        <f>HYPERLINK("https%3A%2F%2Fwww.webofscience.com%2Fwos%2Fwoscc%2Ffull-record%2FWOS:000222951100005","View Full Record in Web of Science")</f>
        <v>View Full Record in Web of Science</v>
      </c>
    </row>
    <row r="155" spans="1:72" x14ac:dyDescent="0.15">
      <c r="A155" t="s">
        <v>72</v>
      </c>
      <c r="B155" t="s">
        <v>2696</v>
      </c>
      <c r="C155" t="s">
        <v>74</v>
      </c>
      <c r="D155" t="s">
        <v>74</v>
      </c>
      <c r="E155" t="s">
        <v>74</v>
      </c>
      <c r="F155" t="s">
        <v>2696</v>
      </c>
      <c r="G155" t="s">
        <v>74</v>
      </c>
      <c r="H155" t="s">
        <v>74</v>
      </c>
      <c r="I155" t="s">
        <v>2697</v>
      </c>
      <c r="J155" t="s">
        <v>2634</v>
      </c>
      <c r="K155" t="s">
        <v>74</v>
      </c>
      <c r="L155" t="s">
        <v>74</v>
      </c>
      <c r="M155" t="s">
        <v>77</v>
      </c>
      <c r="N155" t="s">
        <v>78</v>
      </c>
      <c r="O155" t="s">
        <v>74</v>
      </c>
      <c r="P155" t="s">
        <v>74</v>
      </c>
      <c r="Q155" t="s">
        <v>74</v>
      </c>
      <c r="R155" t="s">
        <v>74</v>
      </c>
      <c r="S155" t="s">
        <v>74</v>
      </c>
      <c r="T155" t="s">
        <v>74</v>
      </c>
      <c r="U155" t="s">
        <v>2698</v>
      </c>
      <c r="V155" t="s">
        <v>2699</v>
      </c>
      <c r="W155" t="s">
        <v>2700</v>
      </c>
      <c r="X155" t="s">
        <v>2701</v>
      </c>
      <c r="Y155" t="s">
        <v>2702</v>
      </c>
      <c r="Z155" t="s">
        <v>2703</v>
      </c>
      <c r="AA155" t="s">
        <v>74</v>
      </c>
      <c r="AB155" t="s">
        <v>74</v>
      </c>
      <c r="AC155" t="s">
        <v>74</v>
      </c>
      <c r="AD155" t="s">
        <v>74</v>
      </c>
      <c r="AE155" t="s">
        <v>74</v>
      </c>
      <c r="AF155" t="s">
        <v>74</v>
      </c>
      <c r="AG155">
        <v>47</v>
      </c>
      <c r="AH155">
        <v>26</v>
      </c>
      <c r="AI155">
        <v>29</v>
      </c>
      <c r="AJ155">
        <v>2</v>
      </c>
      <c r="AK155">
        <v>14</v>
      </c>
      <c r="AL155" t="s">
        <v>2642</v>
      </c>
      <c r="AM155" t="s">
        <v>2643</v>
      </c>
      <c r="AN155" t="s">
        <v>2644</v>
      </c>
      <c r="AO155" t="s">
        <v>2645</v>
      </c>
      <c r="AP155" t="s">
        <v>2646</v>
      </c>
      <c r="AQ155" t="s">
        <v>74</v>
      </c>
      <c r="AR155" t="s">
        <v>2647</v>
      </c>
      <c r="AS155" t="s">
        <v>2648</v>
      </c>
      <c r="AT155" t="s">
        <v>2589</v>
      </c>
      <c r="AU155">
        <v>2004</v>
      </c>
      <c r="AV155">
        <v>36</v>
      </c>
      <c r="AW155">
        <v>1</v>
      </c>
      <c r="AX155" t="s">
        <v>74</v>
      </c>
      <c r="AY155" t="s">
        <v>74</v>
      </c>
      <c r="AZ155" t="s">
        <v>74</v>
      </c>
      <c r="BA155" t="s">
        <v>74</v>
      </c>
      <c r="BB155">
        <v>49</v>
      </c>
      <c r="BC155">
        <v>58</v>
      </c>
      <c r="BD155" t="s">
        <v>74</v>
      </c>
      <c r="BE155" t="s">
        <v>2704</v>
      </c>
      <c r="BF155" t="str">
        <f>HYPERLINK("http://dx.doi.org/10.1657/1523-0430(2004)036[0049:GAGCAP]2.0.CO;2","http://dx.doi.org/10.1657/1523-0430(2004)036[0049:GAGCAP]2.0.CO;2")</f>
        <v>http://dx.doi.org/10.1657/1523-0430(2004)036[0049:GAGCAP]2.0.CO;2</v>
      </c>
      <c r="BG155" t="s">
        <v>74</v>
      </c>
      <c r="BH155" t="s">
        <v>74</v>
      </c>
      <c r="BI155">
        <v>10</v>
      </c>
      <c r="BJ155" t="s">
        <v>2650</v>
      </c>
      <c r="BK155" t="s">
        <v>96</v>
      </c>
      <c r="BL155" t="s">
        <v>2651</v>
      </c>
      <c r="BM155" t="s">
        <v>2652</v>
      </c>
      <c r="BN155" t="s">
        <v>74</v>
      </c>
      <c r="BO155" t="s">
        <v>156</v>
      </c>
      <c r="BP155" t="s">
        <v>74</v>
      </c>
      <c r="BQ155" t="s">
        <v>74</v>
      </c>
      <c r="BR155" t="s">
        <v>99</v>
      </c>
      <c r="BS155" t="s">
        <v>2705</v>
      </c>
      <c r="BT155" t="str">
        <f>HYPERLINK("https%3A%2F%2Fwww.webofscience.com%2Fwos%2Fwoscc%2Ffull-record%2FWOS:000222951100006","View Full Record in Web of Science")</f>
        <v>View Full Record in Web of Science</v>
      </c>
    </row>
    <row r="156" spans="1:72" x14ac:dyDescent="0.15">
      <c r="A156" t="s">
        <v>72</v>
      </c>
      <c r="B156" t="s">
        <v>2706</v>
      </c>
      <c r="C156" t="s">
        <v>74</v>
      </c>
      <c r="D156" t="s">
        <v>74</v>
      </c>
      <c r="E156" t="s">
        <v>74</v>
      </c>
      <c r="F156" t="s">
        <v>2706</v>
      </c>
      <c r="G156" t="s">
        <v>74</v>
      </c>
      <c r="H156" t="s">
        <v>74</v>
      </c>
      <c r="I156" t="s">
        <v>2707</v>
      </c>
      <c r="J156" t="s">
        <v>2634</v>
      </c>
      <c r="K156" t="s">
        <v>74</v>
      </c>
      <c r="L156" t="s">
        <v>74</v>
      </c>
      <c r="M156" t="s">
        <v>77</v>
      </c>
      <c r="N156" t="s">
        <v>78</v>
      </c>
      <c r="O156" t="s">
        <v>74</v>
      </c>
      <c r="P156" t="s">
        <v>74</v>
      </c>
      <c r="Q156" t="s">
        <v>74</v>
      </c>
      <c r="R156" t="s">
        <v>74</v>
      </c>
      <c r="S156" t="s">
        <v>74</v>
      </c>
      <c r="T156" t="s">
        <v>74</v>
      </c>
      <c r="U156" t="s">
        <v>2708</v>
      </c>
      <c r="V156" t="s">
        <v>2709</v>
      </c>
      <c r="W156" t="s">
        <v>2710</v>
      </c>
      <c r="X156" t="s">
        <v>2711</v>
      </c>
      <c r="Y156" t="s">
        <v>2712</v>
      </c>
      <c r="Z156" t="s">
        <v>2713</v>
      </c>
      <c r="AA156" t="s">
        <v>74</v>
      </c>
      <c r="AB156" t="s">
        <v>2714</v>
      </c>
      <c r="AC156" t="s">
        <v>74</v>
      </c>
      <c r="AD156" t="s">
        <v>74</v>
      </c>
      <c r="AE156" t="s">
        <v>74</v>
      </c>
      <c r="AF156" t="s">
        <v>74</v>
      </c>
      <c r="AG156">
        <v>59</v>
      </c>
      <c r="AH156">
        <v>23</v>
      </c>
      <c r="AI156">
        <v>28</v>
      </c>
      <c r="AJ156">
        <v>0</v>
      </c>
      <c r="AK156">
        <v>9</v>
      </c>
      <c r="AL156" t="s">
        <v>2683</v>
      </c>
      <c r="AM156" t="s">
        <v>1313</v>
      </c>
      <c r="AN156" t="s">
        <v>2684</v>
      </c>
      <c r="AO156" t="s">
        <v>2645</v>
      </c>
      <c r="AP156" t="s">
        <v>74</v>
      </c>
      <c r="AQ156" t="s">
        <v>74</v>
      </c>
      <c r="AR156" t="s">
        <v>2647</v>
      </c>
      <c r="AS156" t="s">
        <v>2648</v>
      </c>
      <c r="AT156" t="s">
        <v>2589</v>
      </c>
      <c r="AU156">
        <v>2004</v>
      </c>
      <c r="AV156">
        <v>36</v>
      </c>
      <c r="AW156">
        <v>1</v>
      </c>
      <c r="AX156" t="s">
        <v>74</v>
      </c>
      <c r="AY156" t="s">
        <v>74</v>
      </c>
      <c r="AZ156" t="s">
        <v>74</v>
      </c>
      <c r="BA156" t="s">
        <v>74</v>
      </c>
      <c r="BB156">
        <v>59</v>
      </c>
      <c r="BC156">
        <v>77</v>
      </c>
      <c r="BD156" t="s">
        <v>74</v>
      </c>
      <c r="BE156" t="s">
        <v>2715</v>
      </c>
      <c r="BF156" t="str">
        <f>HYPERLINK("http://dx.doi.org/10.1657/1523-0430(2004)036[0059:RANADF]2.0.CO;2","http://dx.doi.org/10.1657/1523-0430(2004)036[0059:RANADF]2.0.CO;2")</f>
        <v>http://dx.doi.org/10.1657/1523-0430(2004)036[0059:RANADF]2.0.CO;2</v>
      </c>
      <c r="BG156" t="s">
        <v>74</v>
      </c>
      <c r="BH156" t="s">
        <v>74</v>
      </c>
      <c r="BI156">
        <v>19</v>
      </c>
      <c r="BJ156" t="s">
        <v>2650</v>
      </c>
      <c r="BK156" t="s">
        <v>96</v>
      </c>
      <c r="BL156" t="s">
        <v>2651</v>
      </c>
      <c r="BM156" t="s">
        <v>2652</v>
      </c>
      <c r="BN156" t="s">
        <v>74</v>
      </c>
      <c r="BO156" t="s">
        <v>286</v>
      </c>
      <c r="BP156" t="s">
        <v>74</v>
      </c>
      <c r="BQ156" t="s">
        <v>74</v>
      </c>
      <c r="BR156" t="s">
        <v>99</v>
      </c>
      <c r="BS156" t="s">
        <v>2716</v>
      </c>
      <c r="BT156" t="str">
        <f>HYPERLINK("https%3A%2F%2Fwww.webofscience.com%2Fwos%2Fwoscc%2Ffull-record%2FWOS:000222951100007","View Full Record in Web of Science")</f>
        <v>View Full Record in Web of Science</v>
      </c>
    </row>
    <row r="157" spans="1:72" x14ac:dyDescent="0.15">
      <c r="A157" t="s">
        <v>72</v>
      </c>
      <c r="B157" t="s">
        <v>2717</v>
      </c>
      <c r="C157" t="s">
        <v>74</v>
      </c>
      <c r="D157" t="s">
        <v>74</v>
      </c>
      <c r="E157" t="s">
        <v>74</v>
      </c>
      <c r="F157" t="s">
        <v>2717</v>
      </c>
      <c r="G157" t="s">
        <v>74</v>
      </c>
      <c r="H157" t="s">
        <v>74</v>
      </c>
      <c r="I157" t="s">
        <v>2718</v>
      </c>
      <c r="J157" t="s">
        <v>2634</v>
      </c>
      <c r="K157" t="s">
        <v>74</v>
      </c>
      <c r="L157" t="s">
        <v>74</v>
      </c>
      <c r="M157" t="s">
        <v>77</v>
      </c>
      <c r="N157" t="s">
        <v>78</v>
      </c>
      <c r="O157" t="s">
        <v>74</v>
      </c>
      <c r="P157" t="s">
        <v>74</v>
      </c>
      <c r="Q157" t="s">
        <v>74</v>
      </c>
      <c r="R157" t="s">
        <v>74</v>
      </c>
      <c r="S157" t="s">
        <v>74</v>
      </c>
      <c r="T157" t="s">
        <v>74</v>
      </c>
      <c r="U157" t="s">
        <v>2719</v>
      </c>
      <c r="V157" t="s">
        <v>2720</v>
      </c>
      <c r="W157" t="s">
        <v>2721</v>
      </c>
      <c r="X157" t="s">
        <v>2722</v>
      </c>
      <c r="Y157" t="s">
        <v>2723</v>
      </c>
      <c r="Z157" t="s">
        <v>2724</v>
      </c>
      <c r="AA157" t="s">
        <v>2725</v>
      </c>
      <c r="AB157" t="s">
        <v>2726</v>
      </c>
      <c r="AC157" t="s">
        <v>74</v>
      </c>
      <c r="AD157" t="s">
        <v>74</v>
      </c>
      <c r="AE157" t="s">
        <v>74</v>
      </c>
      <c r="AF157" t="s">
        <v>74</v>
      </c>
      <c r="AG157">
        <v>27</v>
      </c>
      <c r="AH157">
        <v>40</v>
      </c>
      <c r="AI157">
        <v>45</v>
      </c>
      <c r="AJ157">
        <v>3</v>
      </c>
      <c r="AK157">
        <v>46</v>
      </c>
      <c r="AL157" t="s">
        <v>2683</v>
      </c>
      <c r="AM157" t="s">
        <v>1313</v>
      </c>
      <c r="AN157" t="s">
        <v>2684</v>
      </c>
      <c r="AO157" t="s">
        <v>2645</v>
      </c>
      <c r="AP157" t="s">
        <v>2646</v>
      </c>
      <c r="AQ157" t="s">
        <v>74</v>
      </c>
      <c r="AR157" t="s">
        <v>2647</v>
      </c>
      <c r="AS157" t="s">
        <v>2648</v>
      </c>
      <c r="AT157" t="s">
        <v>2589</v>
      </c>
      <c r="AU157">
        <v>2004</v>
      </c>
      <c r="AV157">
        <v>36</v>
      </c>
      <c r="AW157">
        <v>1</v>
      </c>
      <c r="AX157" t="s">
        <v>74</v>
      </c>
      <c r="AY157" t="s">
        <v>74</v>
      </c>
      <c r="AZ157" t="s">
        <v>74</v>
      </c>
      <c r="BA157" t="s">
        <v>74</v>
      </c>
      <c r="BB157">
        <v>78</v>
      </c>
      <c r="BC157">
        <v>83</v>
      </c>
      <c r="BD157" t="s">
        <v>74</v>
      </c>
      <c r="BE157" t="s">
        <v>2727</v>
      </c>
      <c r="BF157" t="str">
        <f>HYPERLINK("http://dx.doi.org/10.1657/1523-0430(2004)036[0078:ROTAPT]2.0.CO;2","http://dx.doi.org/10.1657/1523-0430(2004)036[0078:ROTAPT]2.0.CO;2")</f>
        <v>http://dx.doi.org/10.1657/1523-0430(2004)036[0078:ROTAPT]2.0.CO;2</v>
      </c>
      <c r="BG157" t="s">
        <v>74</v>
      </c>
      <c r="BH157" t="s">
        <v>74</v>
      </c>
      <c r="BI157">
        <v>6</v>
      </c>
      <c r="BJ157" t="s">
        <v>2650</v>
      </c>
      <c r="BK157" t="s">
        <v>96</v>
      </c>
      <c r="BL157" t="s">
        <v>2651</v>
      </c>
      <c r="BM157" t="s">
        <v>2652</v>
      </c>
      <c r="BN157" t="s">
        <v>74</v>
      </c>
      <c r="BO157" t="s">
        <v>516</v>
      </c>
      <c r="BP157" t="s">
        <v>74</v>
      </c>
      <c r="BQ157" t="s">
        <v>74</v>
      </c>
      <c r="BR157" t="s">
        <v>99</v>
      </c>
      <c r="BS157" t="s">
        <v>2728</v>
      </c>
      <c r="BT157" t="str">
        <f>HYPERLINK("https%3A%2F%2Fwww.webofscience.com%2Fwos%2Fwoscc%2Ffull-record%2FWOS:000222951100008","View Full Record in Web of Science")</f>
        <v>View Full Record in Web of Science</v>
      </c>
    </row>
    <row r="158" spans="1:72" x14ac:dyDescent="0.15">
      <c r="A158" t="s">
        <v>72</v>
      </c>
      <c r="B158" t="s">
        <v>2729</v>
      </c>
      <c r="C158" t="s">
        <v>74</v>
      </c>
      <c r="D158" t="s">
        <v>74</v>
      </c>
      <c r="E158" t="s">
        <v>74</v>
      </c>
      <c r="F158" t="s">
        <v>2729</v>
      </c>
      <c r="G158" t="s">
        <v>74</v>
      </c>
      <c r="H158" t="s">
        <v>74</v>
      </c>
      <c r="I158" t="s">
        <v>2730</v>
      </c>
      <c r="J158" t="s">
        <v>2634</v>
      </c>
      <c r="K158" t="s">
        <v>74</v>
      </c>
      <c r="L158" t="s">
        <v>74</v>
      </c>
      <c r="M158" t="s">
        <v>77</v>
      </c>
      <c r="N158" t="s">
        <v>78</v>
      </c>
      <c r="O158" t="s">
        <v>74</v>
      </c>
      <c r="P158" t="s">
        <v>74</v>
      </c>
      <c r="Q158" t="s">
        <v>74</v>
      </c>
      <c r="R158" t="s">
        <v>74</v>
      </c>
      <c r="S158" t="s">
        <v>74</v>
      </c>
      <c r="T158" t="s">
        <v>74</v>
      </c>
      <c r="U158" t="s">
        <v>2731</v>
      </c>
      <c r="V158" t="s">
        <v>2732</v>
      </c>
      <c r="W158" t="s">
        <v>2733</v>
      </c>
      <c r="X158" t="s">
        <v>2734</v>
      </c>
      <c r="Y158" t="s">
        <v>2735</v>
      </c>
      <c r="Z158" t="s">
        <v>2736</v>
      </c>
      <c r="AA158" t="s">
        <v>2737</v>
      </c>
      <c r="AB158" t="s">
        <v>2738</v>
      </c>
      <c r="AC158" t="s">
        <v>74</v>
      </c>
      <c r="AD158" t="s">
        <v>74</v>
      </c>
      <c r="AE158" t="s">
        <v>74</v>
      </c>
      <c r="AF158" t="s">
        <v>74</v>
      </c>
      <c r="AG158">
        <v>38</v>
      </c>
      <c r="AH158">
        <v>142</v>
      </c>
      <c r="AI158">
        <v>166</v>
      </c>
      <c r="AJ158">
        <v>1</v>
      </c>
      <c r="AK158">
        <v>52</v>
      </c>
      <c r="AL158" t="s">
        <v>2642</v>
      </c>
      <c r="AM158" t="s">
        <v>2643</v>
      </c>
      <c r="AN158" t="s">
        <v>2644</v>
      </c>
      <c r="AO158" t="s">
        <v>2645</v>
      </c>
      <c r="AP158" t="s">
        <v>2646</v>
      </c>
      <c r="AQ158" t="s">
        <v>74</v>
      </c>
      <c r="AR158" t="s">
        <v>2647</v>
      </c>
      <c r="AS158" t="s">
        <v>2648</v>
      </c>
      <c r="AT158" t="s">
        <v>2589</v>
      </c>
      <c r="AU158">
        <v>2004</v>
      </c>
      <c r="AV158">
        <v>36</v>
      </c>
      <c r="AW158">
        <v>1</v>
      </c>
      <c r="AX158" t="s">
        <v>74</v>
      </c>
      <c r="AY158" t="s">
        <v>74</v>
      </c>
      <c r="AZ158" t="s">
        <v>74</v>
      </c>
      <c r="BA158" t="s">
        <v>74</v>
      </c>
      <c r="BB158">
        <v>84</v>
      </c>
      <c r="BC158">
        <v>91</v>
      </c>
      <c r="BD158" t="s">
        <v>74</v>
      </c>
      <c r="BE158" t="s">
        <v>2739</v>
      </c>
      <c r="BF158" t="str">
        <f>HYPERLINK("http://dx.doi.org/10.1657/1523-0430(2004)036[0084:TBABOC]2.0.CO;2","http://dx.doi.org/10.1657/1523-0430(2004)036[0084:TBABOC]2.0.CO;2")</f>
        <v>http://dx.doi.org/10.1657/1523-0430(2004)036[0084:TBABOC]2.0.CO;2</v>
      </c>
      <c r="BG158" t="s">
        <v>74</v>
      </c>
      <c r="BH158" t="s">
        <v>74</v>
      </c>
      <c r="BI158">
        <v>8</v>
      </c>
      <c r="BJ158" t="s">
        <v>2650</v>
      </c>
      <c r="BK158" t="s">
        <v>96</v>
      </c>
      <c r="BL158" t="s">
        <v>2651</v>
      </c>
      <c r="BM158" t="s">
        <v>2652</v>
      </c>
      <c r="BN158" t="s">
        <v>74</v>
      </c>
      <c r="BO158" t="s">
        <v>156</v>
      </c>
      <c r="BP158" t="s">
        <v>74</v>
      </c>
      <c r="BQ158" t="s">
        <v>74</v>
      </c>
      <c r="BR158" t="s">
        <v>99</v>
      </c>
      <c r="BS158" t="s">
        <v>2740</v>
      </c>
      <c r="BT158" t="str">
        <f>HYPERLINK("https%3A%2F%2Fwww.webofscience.com%2Fwos%2Fwoscc%2Ffull-record%2FWOS:000222951100009","View Full Record in Web of Science")</f>
        <v>View Full Record in Web of Science</v>
      </c>
    </row>
    <row r="159" spans="1:72" x14ac:dyDescent="0.15">
      <c r="A159" t="s">
        <v>72</v>
      </c>
      <c r="B159" t="s">
        <v>2741</v>
      </c>
      <c r="C159" t="s">
        <v>74</v>
      </c>
      <c r="D159" t="s">
        <v>74</v>
      </c>
      <c r="E159" t="s">
        <v>74</v>
      </c>
      <c r="F159" t="s">
        <v>2741</v>
      </c>
      <c r="G159" t="s">
        <v>74</v>
      </c>
      <c r="H159" t="s">
        <v>74</v>
      </c>
      <c r="I159" t="s">
        <v>2742</v>
      </c>
      <c r="J159" t="s">
        <v>2634</v>
      </c>
      <c r="K159" t="s">
        <v>74</v>
      </c>
      <c r="L159" t="s">
        <v>74</v>
      </c>
      <c r="M159" t="s">
        <v>77</v>
      </c>
      <c r="N159" t="s">
        <v>78</v>
      </c>
      <c r="O159" t="s">
        <v>74</v>
      </c>
      <c r="P159" t="s">
        <v>74</v>
      </c>
      <c r="Q159" t="s">
        <v>74</v>
      </c>
      <c r="R159" t="s">
        <v>74</v>
      </c>
      <c r="S159" t="s">
        <v>74</v>
      </c>
      <c r="T159" t="s">
        <v>74</v>
      </c>
      <c r="U159" t="s">
        <v>2743</v>
      </c>
      <c r="V159" t="s">
        <v>2744</v>
      </c>
      <c r="W159" t="s">
        <v>2745</v>
      </c>
      <c r="X159" t="s">
        <v>2746</v>
      </c>
      <c r="Y159" t="s">
        <v>2747</v>
      </c>
      <c r="Z159" t="s">
        <v>2748</v>
      </c>
      <c r="AA159" t="s">
        <v>2749</v>
      </c>
      <c r="AB159" t="s">
        <v>2750</v>
      </c>
      <c r="AC159" t="s">
        <v>74</v>
      </c>
      <c r="AD159" t="s">
        <v>74</v>
      </c>
      <c r="AE159" t="s">
        <v>74</v>
      </c>
      <c r="AF159" t="s">
        <v>74</v>
      </c>
      <c r="AG159">
        <v>34</v>
      </c>
      <c r="AH159">
        <v>54</v>
      </c>
      <c r="AI159">
        <v>69</v>
      </c>
      <c r="AJ159">
        <v>0</v>
      </c>
      <c r="AK159">
        <v>21</v>
      </c>
      <c r="AL159" t="s">
        <v>2642</v>
      </c>
      <c r="AM159" t="s">
        <v>2643</v>
      </c>
      <c r="AN159" t="s">
        <v>2644</v>
      </c>
      <c r="AO159" t="s">
        <v>2645</v>
      </c>
      <c r="AP159" t="s">
        <v>2646</v>
      </c>
      <c r="AQ159" t="s">
        <v>74</v>
      </c>
      <c r="AR159" t="s">
        <v>2647</v>
      </c>
      <c r="AS159" t="s">
        <v>2648</v>
      </c>
      <c r="AT159" t="s">
        <v>2589</v>
      </c>
      <c r="AU159">
        <v>2004</v>
      </c>
      <c r="AV159">
        <v>36</v>
      </c>
      <c r="AW159">
        <v>1</v>
      </c>
      <c r="AX159" t="s">
        <v>74</v>
      </c>
      <c r="AY159" t="s">
        <v>74</v>
      </c>
      <c r="AZ159" t="s">
        <v>74</v>
      </c>
      <c r="BA159" t="s">
        <v>74</v>
      </c>
      <c r="BB159">
        <v>92</v>
      </c>
      <c r="BC159">
        <v>99</v>
      </c>
      <c r="BD159" t="s">
        <v>74</v>
      </c>
      <c r="BE159" t="s">
        <v>2751</v>
      </c>
      <c r="BF159" t="str">
        <f>HYPERLINK("http://dx.doi.org/10.1657/1523-0430(2004)036[0092:ASACOT]2.0.CO;2","http://dx.doi.org/10.1657/1523-0430(2004)036[0092:ASACOT]2.0.CO;2")</f>
        <v>http://dx.doi.org/10.1657/1523-0430(2004)036[0092:ASACOT]2.0.CO;2</v>
      </c>
      <c r="BG159" t="s">
        <v>74</v>
      </c>
      <c r="BH159" t="s">
        <v>74</v>
      </c>
      <c r="BI159">
        <v>8</v>
      </c>
      <c r="BJ159" t="s">
        <v>2650</v>
      </c>
      <c r="BK159" t="s">
        <v>96</v>
      </c>
      <c r="BL159" t="s">
        <v>2651</v>
      </c>
      <c r="BM159" t="s">
        <v>2652</v>
      </c>
      <c r="BN159" t="s">
        <v>74</v>
      </c>
      <c r="BO159" t="s">
        <v>156</v>
      </c>
      <c r="BP159" t="s">
        <v>74</v>
      </c>
      <c r="BQ159" t="s">
        <v>74</v>
      </c>
      <c r="BR159" t="s">
        <v>99</v>
      </c>
      <c r="BS159" t="s">
        <v>2752</v>
      </c>
      <c r="BT159" t="str">
        <f>HYPERLINK("https%3A%2F%2Fwww.webofscience.com%2Fwos%2Fwoscc%2Ffull-record%2FWOS:000222951100010","View Full Record in Web of Science")</f>
        <v>View Full Record in Web of Science</v>
      </c>
    </row>
    <row r="160" spans="1:72" x14ac:dyDescent="0.15">
      <c r="A160" t="s">
        <v>72</v>
      </c>
      <c r="B160" t="s">
        <v>2753</v>
      </c>
      <c r="C160" t="s">
        <v>74</v>
      </c>
      <c r="D160" t="s">
        <v>74</v>
      </c>
      <c r="E160" t="s">
        <v>74</v>
      </c>
      <c r="F160" t="s">
        <v>2753</v>
      </c>
      <c r="G160" t="s">
        <v>74</v>
      </c>
      <c r="H160" t="s">
        <v>74</v>
      </c>
      <c r="I160" t="s">
        <v>2754</v>
      </c>
      <c r="J160" t="s">
        <v>2634</v>
      </c>
      <c r="K160" t="s">
        <v>74</v>
      </c>
      <c r="L160" t="s">
        <v>74</v>
      </c>
      <c r="M160" t="s">
        <v>77</v>
      </c>
      <c r="N160" t="s">
        <v>78</v>
      </c>
      <c r="O160" t="s">
        <v>74</v>
      </c>
      <c r="P160" t="s">
        <v>74</v>
      </c>
      <c r="Q160" t="s">
        <v>74</v>
      </c>
      <c r="R160" t="s">
        <v>74</v>
      </c>
      <c r="S160" t="s">
        <v>74</v>
      </c>
      <c r="T160" t="s">
        <v>74</v>
      </c>
      <c r="U160" t="s">
        <v>2755</v>
      </c>
      <c r="V160" t="s">
        <v>2756</v>
      </c>
      <c r="W160" t="s">
        <v>2757</v>
      </c>
      <c r="X160" t="s">
        <v>2758</v>
      </c>
      <c r="Y160" t="s">
        <v>2759</v>
      </c>
      <c r="Z160" t="s">
        <v>2760</v>
      </c>
      <c r="AA160" t="s">
        <v>74</v>
      </c>
      <c r="AB160" t="s">
        <v>74</v>
      </c>
      <c r="AC160" t="s">
        <v>74</v>
      </c>
      <c r="AD160" t="s">
        <v>74</v>
      </c>
      <c r="AE160" t="s">
        <v>74</v>
      </c>
      <c r="AF160" t="s">
        <v>74</v>
      </c>
      <c r="AG160">
        <v>43</v>
      </c>
      <c r="AH160">
        <v>113</v>
      </c>
      <c r="AI160">
        <v>128</v>
      </c>
      <c r="AJ160">
        <v>0</v>
      </c>
      <c r="AK160">
        <v>16</v>
      </c>
      <c r="AL160" t="s">
        <v>2642</v>
      </c>
      <c r="AM160" t="s">
        <v>2643</v>
      </c>
      <c r="AN160" t="s">
        <v>2644</v>
      </c>
      <c r="AO160" t="s">
        <v>2645</v>
      </c>
      <c r="AP160" t="s">
        <v>2646</v>
      </c>
      <c r="AQ160" t="s">
        <v>74</v>
      </c>
      <c r="AR160" t="s">
        <v>2647</v>
      </c>
      <c r="AS160" t="s">
        <v>2648</v>
      </c>
      <c r="AT160" t="s">
        <v>2589</v>
      </c>
      <c r="AU160">
        <v>2004</v>
      </c>
      <c r="AV160">
        <v>36</v>
      </c>
      <c r="AW160">
        <v>1</v>
      </c>
      <c r="AX160" t="s">
        <v>74</v>
      </c>
      <c r="AY160" t="s">
        <v>74</v>
      </c>
      <c r="AZ160" t="s">
        <v>74</v>
      </c>
      <c r="BA160" t="s">
        <v>74</v>
      </c>
      <c r="BB160">
        <v>100</v>
      </c>
      <c r="BC160">
        <v>107</v>
      </c>
      <c r="BD160" t="s">
        <v>74</v>
      </c>
      <c r="BE160" t="s">
        <v>2761</v>
      </c>
      <c r="BF160" t="str">
        <f>HYPERLINK("http://dx.doi.org/10.1657/1523-0430(2004)036[0100:TGFITT]2.0.CO;2","http://dx.doi.org/10.1657/1523-0430(2004)036[0100:TGFITT]2.0.CO;2")</f>
        <v>http://dx.doi.org/10.1657/1523-0430(2004)036[0100:TGFITT]2.0.CO;2</v>
      </c>
      <c r="BG160" t="s">
        <v>74</v>
      </c>
      <c r="BH160" t="s">
        <v>74</v>
      </c>
      <c r="BI160">
        <v>8</v>
      </c>
      <c r="BJ160" t="s">
        <v>2650</v>
      </c>
      <c r="BK160" t="s">
        <v>96</v>
      </c>
      <c r="BL160" t="s">
        <v>2651</v>
      </c>
      <c r="BM160" t="s">
        <v>2652</v>
      </c>
      <c r="BN160" t="s">
        <v>74</v>
      </c>
      <c r="BO160" t="s">
        <v>156</v>
      </c>
      <c r="BP160" t="s">
        <v>74</v>
      </c>
      <c r="BQ160" t="s">
        <v>74</v>
      </c>
      <c r="BR160" t="s">
        <v>99</v>
      </c>
      <c r="BS160" t="s">
        <v>2762</v>
      </c>
      <c r="BT160" t="str">
        <f>HYPERLINK("https%3A%2F%2Fwww.webofscience.com%2Fwos%2Fwoscc%2Ffull-record%2FWOS:000222951100011","View Full Record in Web of Science")</f>
        <v>View Full Record in Web of Science</v>
      </c>
    </row>
    <row r="161" spans="1:72" x14ac:dyDescent="0.15">
      <c r="A161" t="s">
        <v>72</v>
      </c>
      <c r="B161" t="s">
        <v>2763</v>
      </c>
      <c r="C161" t="s">
        <v>74</v>
      </c>
      <c r="D161" t="s">
        <v>74</v>
      </c>
      <c r="E161" t="s">
        <v>74</v>
      </c>
      <c r="F161" t="s">
        <v>2763</v>
      </c>
      <c r="G161" t="s">
        <v>74</v>
      </c>
      <c r="H161" t="s">
        <v>74</v>
      </c>
      <c r="I161" t="s">
        <v>2764</v>
      </c>
      <c r="J161" t="s">
        <v>2634</v>
      </c>
      <c r="K161" t="s">
        <v>74</v>
      </c>
      <c r="L161" t="s">
        <v>74</v>
      </c>
      <c r="M161" t="s">
        <v>77</v>
      </c>
      <c r="N161" t="s">
        <v>78</v>
      </c>
      <c r="O161" t="s">
        <v>74</v>
      </c>
      <c r="P161" t="s">
        <v>74</v>
      </c>
      <c r="Q161" t="s">
        <v>74</v>
      </c>
      <c r="R161" t="s">
        <v>74</v>
      </c>
      <c r="S161" t="s">
        <v>74</v>
      </c>
      <c r="T161" t="s">
        <v>74</v>
      </c>
      <c r="U161" t="s">
        <v>2765</v>
      </c>
      <c r="V161" t="s">
        <v>2766</v>
      </c>
      <c r="W161" t="s">
        <v>2767</v>
      </c>
      <c r="X161" t="s">
        <v>2768</v>
      </c>
      <c r="Y161" t="s">
        <v>2769</v>
      </c>
      <c r="Z161" t="s">
        <v>2770</v>
      </c>
      <c r="AA161" t="s">
        <v>2771</v>
      </c>
      <c r="AB161" t="s">
        <v>2772</v>
      </c>
      <c r="AC161" t="s">
        <v>74</v>
      </c>
      <c r="AD161" t="s">
        <v>74</v>
      </c>
      <c r="AE161" t="s">
        <v>74</v>
      </c>
      <c r="AF161" t="s">
        <v>74</v>
      </c>
      <c r="AG161">
        <v>38</v>
      </c>
      <c r="AH161">
        <v>21</v>
      </c>
      <c r="AI161">
        <v>23</v>
      </c>
      <c r="AJ161">
        <v>0</v>
      </c>
      <c r="AK161">
        <v>9</v>
      </c>
      <c r="AL161" t="s">
        <v>2683</v>
      </c>
      <c r="AM161" t="s">
        <v>1313</v>
      </c>
      <c r="AN161" t="s">
        <v>2684</v>
      </c>
      <c r="AO161" t="s">
        <v>2645</v>
      </c>
      <c r="AP161" t="s">
        <v>74</v>
      </c>
      <c r="AQ161" t="s">
        <v>74</v>
      </c>
      <c r="AR161" t="s">
        <v>2647</v>
      </c>
      <c r="AS161" t="s">
        <v>2648</v>
      </c>
      <c r="AT161" t="s">
        <v>2589</v>
      </c>
      <c r="AU161">
        <v>2004</v>
      </c>
      <c r="AV161">
        <v>36</v>
      </c>
      <c r="AW161">
        <v>1</v>
      </c>
      <c r="AX161" t="s">
        <v>74</v>
      </c>
      <c r="AY161" t="s">
        <v>74</v>
      </c>
      <c r="AZ161" t="s">
        <v>74</v>
      </c>
      <c r="BA161" t="s">
        <v>74</v>
      </c>
      <c r="BB161">
        <v>108</v>
      </c>
      <c r="BC161">
        <v>116</v>
      </c>
      <c r="BD161" t="s">
        <v>74</v>
      </c>
      <c r="BE161" t="s">
        <v>2773</v>
      </c>
      <c r="BF161" t="str">
        <f>HYPERLINK("http://dx.doi.org/10.1657/1523-0430(2004)036[0108:AORGBP]2.0.CO;2","http://dx.doi.org/10.1657/1523-0430(2004)036[0108:AORGBP]2.0.CO;2")</f>
        <v>http://dx.doi.org/10.1657/1523-0430(2004)036[0108:AORGBP]2.0.CO;2</v>
      </c>
      <c r="BG161" t="s">
        <v>74</v>
      </c>
      <c r="BH161" t="s">
        <v>74</v>
      </c>
      <c r="BI161">
        <v>9</v>
      </c>
      <c r="BJ161" t="s">
        <v>2650</v>
      </c>
      <c r="BK161" t="s">
        <v>96</v>
      </c>
      <c r="BL161" t="s">
        <v>2651</v>
      </c>
      <c r="BM161" t="s">
        <v>2652</v>
      </c>
      <c r="BN161" t="s">
        <v>74</v>
      </c>
      <c r="BO161" t="s">
        <v>156</v>
      </c>
      <c r="BP161" t="s">
        <v>74</v>
      </c>
      <c r="BQ161" t="s">
        <v>74</v>
      </c>
      <c r="BR161" t="s">
        <v>99</v>
      </c>
      <c r="BS161" t="s">
        <v>2774</v>
      </c>
      <c r="BT161" t="str">
        <f>HYPERLINK("https%3A%2F%2Fwww.webofscience.com%2Fwos%2Fwoscc%2Ffull-record%2FWOS:000222951100012","View Full Record in Web of Science")</f>
        <v>View Full Record in Web of Science</v>
      </c>
    </row>
    <row r="162" spans="1:72" x14ac:dyDescent="0.15">
      <c r="A162" t="s">
        <v>72</v>
      </c>
      <c r="B162" t="s">
        <v>2775</v>
      </c>
      <c r="C162" t="s">
        <v>74</v>
      </c>
      <c r="D162" t="s">
        <v>74</v>
      </c>
      <c r="E162" t="s">
        <v>74</v>
      </c>
      <c r="F162" t="s">
        <v>2775</v>
      </c>
      <c r="G162" t="s">
        <v>74</v>
      </c>
      <c r="H162" t="s">
        <v>74</v>
      </c>
      <c r="I162" t="s">
        <v>2776</v>
      </c>
      <c r="J162" t="s">
        <v>2634</v>
      </c>
      <c r="K162" t="s">
        <v>74</v>
      </c>
      <c r="L162" t="s">
        <v>74</v>
      </c>
      <c r="M162" t="s">
        <v>77</v>
      </c>
      <c r="N162" t="s">
        <v>78</v>
      </c>
      <c r="O162" t="s">
        <v>74</v>
      </c>
      <c r="P162" t="s">
        <v>74</v>
      </c>
      <c r="Q162" t="s">
        <v>74</v>
      </c>
      <c r="R162" t="s">
        <v>74</v>
      </c>
      <c r="S162" t="s">
        <v>74</v>
      </c>
      <c r="T162" t="s">
        <v>74</v>
      </c>
      <c r="U162" t="s">
        <v>2777</v>
      </c>
      <c r="V162" t="s">
        <v>2778</v>
      </c>
      <c r="W162" t="s">
        <v>2779</v>
      </c>
      <c r="X162" t="s">
        <v>2780</v>
      </c>
      <c r="Y162" t="s">
        <v>2781</v>
      </c>
      <c r="Z162" t="s">
        <v>2782</v>
      </c>
      <c r="AA162" t="s">
        <v>74</v>
      </c>
      <c r="AB162" t="s">
        <v>74</v>
      </c>
      <c r="AC162" t="s">
        <v>74</v>
      </c>
      <c r="AD162" t="s">
        <v>74</v>
      </c>
      <c r="AE162" t="s">
        <v>74</v>
      </c>
      <c r="AF162" t="s">
        <v>74</v>
      </c>
      <c r="AG162">
        <v>26</v>
      </c>
      <c r="AH162">
        <v>30</v>
      </c>
      <c r="AI162">
        <v>35</v>
      </c>
      <c r="AJ162">
        <v>0</v>
      </c>
      <c r="AK162">
        <v>9</v>
      </c>
      <c r="AL162" t="s">
        <v>2642</v>
      </c>
      <c r="AM162" t="s">
        <v>2643</v>
      </c>
      <c r="AN162" t="s">
        <v>2644</v>
      </c>
      <c r="AO162" t="s">
        <v>2645</v>
      </c>
      <c r="AP162" t="s">
        <v>2646</v>
      </c>
      <c r="AQ162" t="s">
        <v>74</v>
      </c>
      <c r="AR162" t="s">
        <v>2647</v>
      </c>
      <c r="AS162" t="s">
        <v>2648</v>
      </c>
      <c r="AT162" t="s">
        <v>2589</v>
      </c>
      <c r="AU162">
        <v>2004</v>
      </c>
      <c r="AV162">
        <v>36</v>
      </c>
      <c r="AW162">
        <v>1</v>
      </c>
      <c r="AX162" t="s">
        <v>74</v>
      </c>
      <c r="AY162" t="s">
        <v>74</v>
      </c>
      <c r="AZ162" t="s">
        <v>74</v>
      </c>
      <c r="BA162" t="s">
        <v>74</v>
      </c>
      <c r="BB162">
        <v>117</v>
      </c>
      <c r="BC162">
        <v>122</v>
      </c>
      <c r="BD162" t="s">
        <v>74</v>
      </c>
      <c r="BE162" t="s">
        <v>2783</v>
      </c>
      <c r="BF162" t="str">
        <f>HYPERLINK("http://dx.doi.org/10.1657/1523-0430(2004)036[0117:OEOIIF]2.0.CO;2","http://dx.doi.org/10.1657/1523-0430(2004)036[0117:OEOIIF]2.0.CO;2")</f>
        <v>http://dx.doi.org/10.1657/1523-0430(2004)036[0117:OEOIIF]2.0.CO;2</v>
      </c>
      <c r="BG162" t="s">
        <v>74</v>
      </c>
      <c r="BH162" t="s">
        <v>74</v>
      </c>
      <c r="BI162">
        <v>6</v>
      </c>
      <c r="BJ162" t="s">
        <v>2650</v>
      </c>
      <c r="BK162" t="s">
        <v>96</v>
      </c>
      <c r="BL162" t="s">
        <v>2651</v>
      </c>
      <c r="BM162" t="s">
        <v>2652</v>
      </c>
      <c r="BN162" t="s">
        <v>74</v>
      </c>
      <c r="BO162" t="s">
        <v>286</v>
      </c>
      <c r="BP162" t="s">
        <v>74</v>
      </c>
      <c r="BQ162" t="s">
        <v>74</v>
      </c>
      <c r="BR162" t="s">
        <v>99</v>
      </c>
      <c r="BS162" t="s">
        <v>2784</v>
      </c>
      <c r="BT162" t="str">
        <f>HYPERLINK("https%3A%2F%2Fwww.webofscience.com%2Fwos%2Fwoscc%2Ffull-record%2FWOS:000222951100013","View Full Record in Web of Science")</f>
        <v>View Full Record in Web of Science</v>
      </c>
    </row>
    <row r="163" spans="1:72" x14ac:dyDescent="0.15">
      <c r="A163" t="s">
        <v>72</v>
      </c>
      <c r="B163" t="s">
        <v>2785</v>
      </c>
      <c r="C163" t="s">
        <v>74</v>
      </c>
      <c r="D163" t="s">
        <v>74</v>
      </c>
      <c r="E163" t="s">
        <v>74</v>
      </c>
      <c r="F163" t="s">
        <v>2785</v>
      </c>
      <c r="G163" t="s">
        <v>74</v>
      </c>
      <c r="H163" t="s">
        <v>74</v>
      </c>
      <c r="I163" t="s">
        <v>2786</v>
      </c>
      <c r="J163" t="s">
        <v>2634</v>
      </c>
      <c r="K163" t="s">
        <v>74</v>
      </c>
      <c r="L163" t="s">
        <v>74</v>
      </c>
      <c r="M163" t="s">
        <v>77</v>
      </c>
      <c r="N163" t="s">
        <v>78</v>
      </c>
      <c r="O163" t="s">
        <v>74</v>
      </c>
      <c r="P163" t="s">
        <v>74</v>
      </c>
      <c r="Q163" t="s">
        <v>74</v>
      </c>
      <c r="R163" t="s">
        <v>74</v>
      </c>
      <c r="S163" t="s">
        <v>74</v>
      </c>
      <c r="T163" t="s">
        <v>74</v>
      </c>
      <c r="U163" t="s">
        <v>2787</v>
      </c>
      <c r="V163" t="s">
        <v>2788</v>
      </c>
      <c r="W163" t="s">
        <v>2789</v>
      </c>
      <c r="X163" t="s">
        <v>2790</v>
      </c>
      <c r="Y163" t="s">
        <v>2791</v>
      </c>
      <c r="Z163" t="s">
        <v>2792</v>
      </c>
      <c r="AA163" t="s">
        <v>2793</v>
      </c>
      <c r="AB163" t="s">
        <v>2794</v>
      </c>
      <c r="AC163" t="s">
        <v>74</v>
      </c>
      <c r="AD163" t="s">
        <v>74</v>
      </c>
      <c r="AE163" t="s">
        <v>74</v>
      </c>
      <c r="AF163" t="s">
        <v>74</v>
      </c>
      <c r="AG163">
        <v>14</v>
      </c>
      <c r="AH163">
        <v>13</v>
      </c>
      <c r="AI163">
        <v>16</v>
      </c>
      <c r="AJ163">
        <v>0</v>
      </c>
      <c r="AK163">
        <v>5</v>
      </c>
      <c r="AL163" t="s">
        <v>2683</v>
      </c>
      <c r="AM163" t="s">
        <v>1313</v>
      </c>
      <c r="AN163" t="s">
        <v>2684</v>
      </c>
      <c r="AO163" t="s">
        <v>2645</v>
      </c>
      <c r="AP163" t="s">
        <v>74</v>
      </c>
      <c r="AQ163" t="s">
        <v>74</v>
      </c>
      <c r="AR163" t="s">
        <v>2647</v>
      </c>
      <c r="AS163" t="s">
        <v>2648</v>
      </c>
      <c r="AT163" t="s">
        <v>2589</v>
      </c>
      <c r="AU163">
        <v>2004</v>
      </c>
      <c r="AV163">
        <v>36</v>
      </c>
      <c r="AW163">
        <v>1</v>
      </c>
      <c r="AX163" t="s">
        <v>74</v>
      </c>
      <c r="AY163" t="s">
        <v>74</v>
      </c>
      <c r="AZ163" t="s">
        <v>74</v>
      </c>
      <c r="BA163" t="s">
        <v>74</v>
      </c>
      <c r="BB163">
        <v>123</v>
      </c>
      <c r="BC163">
        <v>127</v>
      </c>
      <c r="BD163" t="s">
        <v>74</v>
      </c>
      <c r="BE163" t="s">
        <v>2795</v>
      </c>
      <c r="BF163" t="str">
        <f>HYPERLINK("http://dx.doi.org/10.1657/1523-0430(2004)036[0123:RWROSM]2.0.CO;2","http://dx.doi.org/10.1657/1523-0430(2004)036[0123:RWROSM]2.0.CO;2")</f>
        <v>http://dx.doi.org/10.1657/1523-0430(2004)036[0123:RWROSM]2.0.CO;2</v>
      </c>
      <c r="BG163" t="s">
        <v>74</v>
      </c>
      <c r="BH163" t="s">
        <v>74</v>
      </c>
      <c r="BI163">
        <v>5</v>
      </c>
      <c r="BJ163" t="s">
        <v>2650</v>
      </c>
      <c r="BK163" t="s">
        <v>96</v>
      </c>
      <c r="BL163" t="s">
        <v>2651</v>
      </c>
      <c r="BM163" t="s">
        <v>2652</v>
      </c>
      <c r="BN163" t="s">
        <v>74</v>
      </c>
      <c r="BO163" t="s">
        <v>516</v>
      </c>
      <c r="BP163" t="s">
        <v>74</v>
      </c>
      <c r="BQ163" t="s">
        <v>74</v>
      </c>
      <c r="BR163" t="s">
        <v>99</v>
      </c>
      <c r="BS163" t="s">
        <v>2796</v>
      </c>
      <c r="BT163" t="str">
        <f>HYPERLINK("https%3A%2F%2Fwww.webofscience.com%2Fwos%2Fwoscc%2Ffull-record%2FWOS:000222951100014","View Full Record in Web of Science")</f>
        <v>View Full Record in Web of Science</v>
      </c>
    </row>
    <row r="164" spans="1:72" x14ac:dyDescent="0.15">
      <c r="A164" t="s">
        <v>72</v>
      </c>
      <c r="B164" t="s">
        <v>2797</v>
      </c>
      <c r="C164" t="s">
        <v>74</v>
      </c>
      <c r="D164" t="s">
        <v>74</v>
      </c>
      <c r="E164" t="s">
        <v>74</v>
      </c>
      <c r="F164" t="s">
        <v>2797</v>
      </c>
      <c r="G164" t="s">
        <v>74</v>
      </c>
      <c r="H164" t="s">
        <v>74</v>
      </c>
      <c r="I164" t="s">
        <v>2798</v>
      </c>
      <c r="J164" t="s">
        <v>2634</v>
      </c>
      <c r="K164" t="s">
        <v>74</v>
      </c>
      <c r="L164" t="s">
        <v>74</v>
      </c>
      <c r="M164" t="s">
        <v>77</v>
      </c>
      <c r="N164" t="s">
        <v>78</v>
      </c>
      <c r="O164" t="s">
        <v>74</v>
      </c>
      <c r="P164" t="s">
        <v>74</v>
      </c>
      <c r="Q164" t="s">
        <v>74</v>
      </c>
      <c r="R164" t="s">
        <v>74</v>
      </c>
      <c r="S164" t="s">
        <v>74</v>
      </c>
      <c r="T164" t="s">
        <v>74</v>
      </c>
      <c r="U164" t="s">
        <v>2799</v>
      </c>
      <c r="V164" t="s">
        <v>2800</v>
      </c>
      <c r="W164" t="s">
        <v>2801</v>
      </c>
      <c r="X164" t="s">
        <v>2802</v>
      </c>
      <c r="Y164" t="s">
        <v>2803</v>
      </c>
      <c r="Z164" t="s">
        <v>2804</v>
      </c>
      <c r="AA164" t="s">
        <v>2805</v>
      </c>
      <c r="AB164" t="s">
        <v>74</v>
      </c>
      <c r="AC164" t="s">
        <v>74</v>
      </c>
      <c r="AD164" t="s">
        <v>74</v>
      </c>
      <c r="AE164" t="s">
        <v>74</v>
      </c>
      <c r="AF164" t="s">
        <v>74</v>
      </c>
      <c r="AG164">
        <v>14</v>
      </c>
      <c r="AH164">
        <v>38</v>
      </c>
      <c r="AI164">
        <v>42</v>
      </c>
      <c r="AJ164">
        <v>2</v>
      </c>
      <c r="AK164">
        <v>36</v>
      </c>
      <c r="AL164" t="s">
        <v>2683</v>
      </c>
      <c r="AM164" t="s">
        <v>1313</v>
      </c>
      <c r="AN164" t="s">
        <v>2684</v>
      </c>
      <c r="AO164" t="s">
        <v>2645</v>
      </c>
      <c r="AP164" t="s">
        <v>74</v>
      </c>
      <c r="AQ164" t="s">
        <v>74</v>
      </c>
      <c r="AR164" t="s">
        <v>2647</v>
      </c>
      <c r="AS164" t="s">
        <v>2648</v>
      </c>
      <c r="AT164" t="s">
        <v>2589</v>
      </c>
      <c r="AU164">
        <v>2004</v>
      </c>
      <c r="AV164">
        <v>36</v>
      </c>
      <c r="AW164">
        <v>1</v>
      </c>
      <c r="AX164" t="s">
        <v>74</v>
      </c>
      <c r="AY164" t="s">
        <v>74</v>
      </c>
      <c r="AZ164" t="s">
        <v>74</v>
      </c>
      <c r="BA164" t="s">
        <v>74</v>
      </c>
      <c r="BB164">
        <v>128</v>
      </c>
      <c r="BC164">
        <v>135</v>
      </c>
      <c r="BD164" t="s">
        <v>74</v>
      </c>
      <c r="BE164" t="s">
        <v>2806</v>
      </c>
      <c r="BF164" t="str">
        <f>HYPERLINK("http://dx.doi.org/10.1657/1523-0430(2004)036[0128:SIIASV]2.0.CO;2","http://dx.doi.org/10.1657/1523-0430(2004)036[0128:SIIASV]2.0.CO;2")</f>
        <v>http://dx.doi.org/10.1657/1523-0430(2004)036[0128:SIIASV]2.0.CO;2</v>
      </c>
      <c r="BG164" t="s">
        <v>74</v>
      </c>
      <c r="BH164" t="s">
        <v>74</v>
      </c>
      <c r="BI164">
        <v>8</v>
      </c>
      <c r="BJ164" t="s">
        <v>2650</v>
      </c>
      <c r="BK164" t="s">
        <v>96</v>
      </c>
      <c r="BL164" t="s">
        <v>2651</v>
      </c>
      <c r="BM164" t="s">
        <v>2652</v>
      </c>
      <c r="BN164" t="s">
        <v>74</v>
      </c>
      <c r="BO164" t="s">
        <v>2807</v>
      </c>
      <c r="BP164" t="s">
        <v>74</v>
      </c>
      <c r="BQ164" t="s">
        <v>74</v>
      </c>
      <c r="BR164" t="s">
        <v>99</v>
      </c>
      <c r="BS164" t="s">
        <v>2808</v>
      </c>
      <c r="BT164" t="str">
        <f>HYPERLINK("https%3A%2F%2Fwww.webofscience.com%2Fwos%2Fwoscc%2Ffull-record%2FWOS:000222951100015","View Full Record in Web of Science")</f>
        <v>View Full Record in Web of Science</v>
      </c>
    </row>
    <row r="165" spans="1:72" x14ac:dyDescent="0.15">
      <c r="A165" t="s">
        <v>72</v>
      </c>
      <c r="B165" t="s">
        <v>2809</v>
      </c>
      <c r="C165" t="s">
        <v>74</v>
      </c>
      <c r="D165" t="s">
        <v>74</v>
      </c>
      <c r="E165" t="s">
        <v>74</v>
      </c>
      <c r="F165" t="s">
        <v>2809</v>
      </c>
      <c r="G165" t="s">
        <v>74</v>
      </c>
      <c r="H165" t="s">
        <v>74</v>
      </c>
      <c r="I165" t="s">
        <v>2810</v>
      </c>
      <c r="J165" t="s">
        <v>2811</v>
      </c>
      <c r="K165" t="s">
        <v>74</v>
      </c>
      <c r="L165" t="s">
        <v>74</v>
      </c>
      <c r="M165" t="s">
        <v>77</v>
      </c>
      <c r="N165" t="s">
        <v>822</v>
      </c>
      <c r="O165" t="s">
        <v>74</v>
      </c>
      <c r="P165" t="s">
        <v>74</v>
      </c>
      <c r="Q165" t="s">
        <v>74</v>
      </c>
      <c r="R165" t="s">
        <v>74</v>
      </c>
      <c r="S165" t="s">
        <v>74</v>
      </c>
      <c r="T165" t="s">
        <v>2812</v>
      </c>
      <c r="U165" t="s">
        <v>2813</v>
      </c>
      <c r="V165" t="s">
        <v>2814</v>
      </c>
      <c r="W165" t="s">
        <v>2815</v>
      </c>
      <c r="X165" t="s">
        <v>2816</v>
      </c>
      <c r="Y165" t="s">
        <v>2817</v>
      </c>
      <c r="Z165" t="s">
        <v>2818</v>
      </c>
      <c r="AA165" t="s">
        <v>2819</v>
      </c>
      <c r="AB165" t="s">
        <v>2820</v>
      </c>
      <c r="AC165" t="s">
        <v>74</v>
      </c>
      <c r="AD165" t="s">
        <v>74</v>
      </c>
      <c r="AE165" t="s">
        <v>74</v>
      </c>
      <c r="AF165" t="s">
        <v>74</v>
      </c>
      <c r="AG165">
        <v>18</v>
      </c>
      <c r="AH165">
        <v>5</v>
      </c>
      <c r="AI165">
        <v>6</v>
      </c>
      <c r="AJ165">
        <v>0</v>
      </c>
      <c r="AK165">
        <v>6</v>
      </c>
      <c r="AL165" t="s">
        <v>685</v>
      </c>
      <c r="AM165" t="s">
        <v>529</v>
      </c>
      <c r="AN165" t="s">
        <v>686</v>
      </c>
      <c r="AO165" t="s">
        <v>2821</v>
      </c>
      <c r="AP165" t="s">
        <v>2822</v>
      </c>
      <c r="AQ165" t="s">
        <v>74</v>
      </c>
      <c r="AR165" t="s">
        <v>2823</v>
      </c>
      <c r="AS165" t="s">
        <v>2824</v>
      </c>
      <c r="AT165" t="s">
        <v>2589</v>
      </c>
      <c r="AU165">
        <v>2004</v>
      </c>
      <c r="AV165">
        <v>20</v>
      </c>
      <c r="AW165">
        <v>5</v>
      </c>
      <c r="AX165" t="s">
        <v>74</v>
      </c>
      <c r="AY165" t="s">
        <v>74</v>
      </c>
      <c r="AZ165" t="s">
        <v>74</v>
      </c>
      <c r="BA165" t="s">
        <v>74</v>
      </c>
      <c r="BB165">
        <v>613</v>
      </c>
      <c r="BC165">
        <v>615</v>
      </c>
      <c r="BD165" t="s">
        <v>74</v>
      </c>
      <c r="BE165" t="s">
        <v>2825</v>
      </c>
      <c r="BF165" t="str">
        <f>HYPERLINK("http://dx.doi.org/10.1016/j.astropartphys.2003.08.002","http://dx.doi.org/10.1016/j.astropartphys.2003.08.002")</f>
        <v>http://dx.doi.org/10.1016/j.astropartphys.2003.08.002</v>
      </c>
      <c r="BG165" t="s">
        <v>74</v>
      </c>
      <c r="BH165" t="s">
        <v>74</v>
      </c>
      <c r="BI165">
        <v>3</v>
      </c>
      <c r="BJ165" t="s">
        <v>2826</v>
      </c>
      <c r="BK165" t="s">
        <v>96</v>
      </c>
      <c r="BL165" t="s">
        <v>2827</v>
      </c>
      <c r="BM165" t="s">
        <v>2828</v>
      </c>
      <c r="BN165" t="s">
        <v>74</v>
      </c>
      <c r="BO165" t="s">
        <v>74</v>
      </c>
      <c r="BP165" t="s">
        <v>74</v>
      </c>
      <c r="BQ165" t="s">
        <v>74</v>
      </c>
      <c r="BR165" t="s">
        <v>99</v>
      </c>
      <c r="BS165" t="s">
        <v>2829</v>
      </c>
      <c r="BT165" t="str">
        <f>HYPERLINK("https%3A%2F%2Fwww.webofscience.com%2Fwos%2Fwoscc%2Ffull-record%2FWOS:000188776800008","View Full Record in Web of Science")</f>
        <v>View Full Record in Web of Science</v>
      </c>
    </row>
    <row r="166" spans="1:72" x14ac:dyDescent="0.15">
      <c r="A166" t="s">
        <v>72</v>
      </c>
      <c r="B166" t="s">
        <v>2830</v>
      </c>
      <c r="C166" t="s">
        <v>74</v>
      </c>
      <c r="D166" t="s">
        <v>74</v>
      </c>
      <c r="E166" t="s">
        <v>74</v>
      </c>
      <c r="F166" t="s">
        <v>2830</v>
      </c>
      <c r="G166" t="s">
        <v>74</v>
      </c>
      <c r="H166" t="s">
        <v>74</v>
      </c>
      <c r="I166" t="s">
        <v>2831</v>
      </c>
      <c r="J166" t="s">
        <v>2832</v>
      </c>
      <c r="K166" t="s">
        <v>74</v>
      </c>
      <c r="L166" t="s">
        <v>74</v>
      </c>
      <c r="M166" t="s">
        <v>77</v>
      </c>
      <c r="N166" t="s">
        <v>78</v>
      </c>
      <c r="O166" t="s">
        <v>74</v>
      </c>
      <c r="P166" t="s">
        <v>74</v>
      </c>
      <c r="Q166" t="s">
        <v>74</v>
      </c>
      <c r="R166" t="s">
        <v>74</v>
      </c>
      <c r="S166" t="s">
        <v>74</v>
      </c>
      <c r="T166" t="s">
        <v>2833</v>
      </c>
      <c r="U166" t="s">
        <v>2834</v>
      </c>
      <c r="V166" t="s">
        <v>2835</v>
      </c>
      <c r="W166" t="s">
        <v>2836</v>
      </c>
      <c r="X166" t="s">
        <v>132</v>
      </c>
      <c r="Y166" t="s">
        <v>2837</v>
      </c>
      <c r="Z166" t="s">
        <v>2838</v>
      </c>
      <c r="AA166" t="s">
        <v>2839</v>
      </c>
      <c r="AB166" t="s">
        <v>2840</v>
      </c>
      <c r="AC166" t="s">
        <v>74</v>
      </c>
      <c r="AD166" t="s">
        <v>74</v>
      </c>
      <c r="AE166" t="s">
        <v>74</v>
      </c>
      <c r="AF166" t="s">
        <v>74</v>
      </c>
      <c r="AG166">
        <v>73</v>
      </c>
      <c r="AH166">
        <v>32</v>
      </c>
      <c r="AI166">
        <v>38</v>
      </c>
      <c r="AJ166">
        <v>1</v>
      </c>
      <c r="AK166">
        <v>18</v>
      </c>
      <c r="AL166" t="s">
        <v>86</v>
      </c>
      <c r="AM166" t="s">
        <v>87</v>
      </c>
      <c r="AN166" t="s">
        <v>2007</v>
      </c>
      <c r="AO166" t="s">
        <v>2841</v>
      </c>
      <c r="AP166" t="s">
        <v>2842</v>
      </c>
      <c r="AQ166" t="s">
        <v>74</v>
      </c>
      <c r="AR166" t="s">
        <v>2843</v>
      </c>
      <c r="AS166" t="s">
        <v>2844</v>
      </c>
      <c r="AT166" t="s">
        <v>2589</v>
      </c>
      <c r="AU166">
        <v>2004</v>
      </c>
      <c r="AV166">
        <v>55</v>
      </c>
      <c r="AW166">
        <v>4</v>
      </c>
      <c r="AX166" t="s">
        <v>74</v>
      </c>
      <c r="AY166" t="s">
        <v>74</v>
      </c>
      <c r="AZ166" t="s">
        <v>74</v>
      </c>
      <c r="BA166" t="s">
        <v>74</v>
      </c>
      <c r="BB166">
        <v>349</v>
      </c>
      <c r="BC166">
        <v>362</v>
      </c>
      <c r="BD166" t="s">
        <v>74</v>
      </c>
      <c r="BE166" t="s">
        <v>2845</v>
      </c>
      <c r="BF166" t="str">
        <f>HYPERLINK("http://dx.doi.org/10.1007/s00265-003-0721-1","http://dx.doi.org/10.1007/s00265-003-0721-1")</f>
        <v>http://dx.doi.org/10.1007/s00265-003-0721-1</v>
      </c>
      <c r="BG166" t="s">
        <v>74</v>
      </c>
      <c r="BH166" t="s">
        <v>74</v>
      </c>
      <c r="BI166">
        <v>14</v>
      </c>
      <c r="BJ166" t="s">
        <v>2846</v>
      </c>
      <c r="BK166" t="s">
        <v>96</v>
      </c>
      <c r="BL166" t="s">
        <v>2847</v>
      </c>
      <c r="BM166" t="s">
        <v>2848</v>
      </c>
      <c r="BN166" t="s">
        <v>74</v>
      </c>
      <c r="BO166" t="s">
        <v>74</v>
      </c>
      <c r="BP166" t="s">
        <v>74</v>
      </c>
      <c r="BQ166" t="s">
        <v>74</v>
      </c>
      <c r="BR166" t="s">
        <v>99</v>
      </c>
      <c r="BS166" t="s">
        <v>2849</v>
      </c>
      <c r="BT166" t="str">
        <f>HYPERLINK("https%3A%2F%2Fwww.webofscience.com%2Fwos%2Fwoscc%2Ffull-record%2FWOS:000188384200005","View Full Record in Web of Science")</f>
        <v>View Full Record in Web of Science</v>
      </c>
    </row>
    <row r="167" spans="1:72" x14ac:dyDescent="0.15">
      <c r="A167" t="s">
        <v>72</v>
      </c>
      <c r="B167" t="s">
        <v>2850</v>
      </c>
      <c r="C167" t="s">
        <v>74</v>
      </c>
      <c r="D167" t="s">
        <v>74</v>
      </c>
      <c r="E167" t="s">
        <v>74</v>
      </c>
      <c r="F167" t="s">
        <v>2850</v>
      </c>
      <c r="G167" t="s">
        <v>74</v>
      </c>
      <c r="H167" t="s">
        <v>74</v>
      </c>
      <c r="I167" t="s">
        <v>2851</v>
      </c>
      <c r="J167" t="s">
        <v>2852</v>
      </c>
      <c r="K167" t="s">
        <v>74</v>
      </c>
      <c r="L167" t="s">
        <v>74</v>
      </c>
      <c r="M167" t="s">
        <v>77</v>
      </c>
      <c r="N167" t="s">
        <v>78</v>
      </c>
      <c r="O167" t="s">
        <v>74</v>
      </c>
      <c r="P167" t="s">
        <v>74</v>
      </c>
      <c r="Q167" t="s">
        <v>74</v>
      </c>
      <c r="R167" t="s">
        <v>74</v>
      </c>
      <c r="S167" t="s">
        <v>74</v>
      </c>
      <c r="T167" t="s">
        <v>74</v>
      </c>
      <c r="U167" t="s">
        <v>2853</v>
      </c>
      <c r="V167" t="s">
        <v>2854</v>
      </c>
      <c r="W167" t="s">
        <v>2855</v>
      </c>
      <c r="X167" t="s">
        <v>2856</v>
      </c>
      <c r="Y167" t="s">
        <v>2857</v>
      </c>
      <c r="Z167" t="s">
        <v>2858</v>
      </c>
      <c r="AA167" t="s">
        <v>74</v>
      </c>
      <c r="AB167" t="s">
        <v>74</v>
      </c>
      <c r="AC167" t="s">
        <v>74</v>
      </c>
      <c r="AD167" t="s">
        <v>74</v>
      </c>
      <c r="AE167" t="s">
        <v>74</v>
      </c>
      <c r="AF167" t="s">
        <v>74</v>
      </c>
      <c r="AG167">
        <v>39</v>
      </c>
      <c r="AH167">
        <v>16</v>
      </c>
      <c r="AI167">
        <v>22</v>
      </c>
      <c r="AJ167">
        <v>0</v>
      </c>
      <c r="AK167">
        <v>10</v>
      </c>
      <c r="AL167" t="s">
        <v>2859</v>
      </c>
      <c r="AM167" t="s">
        <v>2860</v>
      </c>
      <c r="AN167" t="s">
        <v>2861</v>
      </c>
      <c r="AO167" t="s">
        <v>2862</v>
      </c>
      <c r="AP167" t="s">
        <v>2863</v>
      </c>
      <c r="AQ167" t="s">
        <v>74</v>
      </c>
      <c r="AR167" t="s">
        <v>2864</v>
      </c>
      <c r="AS167" t="s">
        <v>2865</v>
      </c>
      <c r="AT167" t="s">
        <v>2589</v>
      </c>
      <c r="AU167">
        <v>2004</v>
      </c>
      <c r="AV167">
        <v>61</v>
      </c>
      <c r="AW167">
        <v>2</v>
      </c>
      <c r="AX167" t="s">
        <v>74</v>
      </c>
      <c r="AY167" t="s">
        <v>74</v>
      </c>
      <c r="AZ167" t="s">
        <v>74</v>
      </c>
      <c r="BA167" t="s">
        <v>74</v>
      </c>
      <c r="BB167">
        <v>230</v>
      </c>
      <c r="BC167">
        <v>237</v>
      </c>
      <c r="BD167" t="s">
        <v>74</v>
      </c>
      <c r="BE167" t="s">
        <v>2866</v>
      </c>
      <c r="BF167" t="str">
        <f>HYPERLINK("http://dx.doi.org/10.1139/F03-159","http://dx.doi.org/10.1139/F03-159")</f>
        <v>http://dx.doi.org/10.1139/F03-159</v>
      </c>
      <c r="BG167" t="s">
        <v>74</v>
      </c>
      <c r="BH167" t="s">
        <v>74</v>
      </c>
      <c r="BI167">
        <v>8</v>
      </c>
      <c r="BJ167" t="s">
        <v>2867</v>
      </c>
      <c r="BK167" t="s">
        <v>96</v>
      </c>
      <c r="BL167" t="s">
        <v>2867</v>
      </c>
      <c r="BM167" t="s">
        <v>2868</v>
      </c>
      <c r="BN167" t="s">
        <v>74</v>
      </c>
      <c r="BO167" t="s">
        <v>188</v>
      </c>
      <c r="BP167" t="s">
        <v>74</v>
      </c>
      <c r="BQ167" t="s">
        <v>74</v>
      </c>
      <c r="BR167" t="s">
        <v>99</v>
      </c>
      <c r="BS167" t="s">
        <v>2869</v>
      </c>
      <c r="BT167" t="str">
        <f>HYPERLINK("https%3A%2F%2Fwww.webofscience.com%2Fwos%2Fwoscc%2Ffull-record%2FWOS:000220709300009","View Full Record in Web of Science")</f>
        <v>View Full Record in Web of Science</v>
      </c>
    </row>
    <row r="168" spans="1:72" x14ac:dyDescent="0.15">
      <c r="A168" t="s">
        <v>72</v>
      </c>
      <c r="B168" t="s">
        <v>2870</v>
      </c>
      <c r="C168" t="s">
        <v>74</v>
      </c>
      <c r="D168" t="s">
        <v>74</v>
      </c>
      <c r="E168" t="s">
        <v>74</v>
      </c>
      <c r="F168" t="s">
        <v>2870</v>
      </c>
      <c r="G168" t="s">
        <v>74</v>
      </c>
      <c r="H168" t="s">
        <v>74</v>
      </c>
      <c r="I168" t="s">
        <v>2871</v>
      </c>
      <c r="J168" t="s">
        <v>2872</v>
      </c>
      <c r="K168" t="s">
        <v>74</v>
      </c>
      <c r="L168" t="s">
        <v>74</v>
      </c>
      <c r="M168" t="s">
        <v>77</v>
      </c>
      <c r="N168" t="s">
        <v>78</v>
      </c>
      <c r="O168" t="s">
        <v>74</v>
      </c>
      <c r="P168" t="s">
        <v>74</v>
      </c>
      <c r="Q168" t="s">
        <v>74</v>
      </c>
      <c r="R168" t="s">
        <v>74</v>
      </c>
      <c r="S168" t="s">
        <v>74</v>
      </c>
      <c r="T168" t="s">
        <v>2873</v>
      </c>
      <c r="U168" t="s">
        <v>2874</v>
      </c>
      <c r="V168" t="s">
        <v>2875</v>
      </c>
      <c r="W168" t="s">
        <v>2876</v>
      </c>
      <c r="X168" t="s">
        <v>2877</v>
      </c>
      <c r="Y168" t="s">
        <v>2878</v>
      </c>
      <c r="Z168" t="s">
        <v>2879</v>
      </c>
      <c r="AA168" t="s">
        <v>2880</v>
      </c>
      <c r="AB168" t="s">
        <v>2881</v>
      </c>
      <c r="AC168" t="s">
        <v>74</v>
      </c>
      <c r="AD168" t="s">
        <v>74</v>
      </c>
      <c r="AE168" t="s">
        <v>74</v>
      </c>
      <c r="AF168" t="s">
        <v>74</v>
      </c>
      <c r="AG168">
        <v>91</v>
      </c>
      <c r="AH168">
        <v>45</v>
      </c>
      <c r="AI168">
        <v>48</v>
      </c>
      <c r="AJ168">
        <v>3</v>
      </c>
      <c r="AK168">
        <v>33</v>
      </c>
      <c r="AL168" t="s">
        <v>213</v>
      </c>
      <c r="AM168" t="s">
        <v>214</v>
      </c>
      <c r="AN168" t="s">
        <v>215</v>
      </c>
      <c r="AO168" t="s">
        <v>2882</v>
      </c>
      <c r="AP168" t="s">
        <v>2883</v>
      </c>
      <c r="AQ168" t="s">
        <v>74</v>
      </c>
      <c r="AR168" t="s">
        <v>2884</v>
      </c>
      <c r="AS168" t="s">
        <v>2885</v>
      </c>
      <c r="AT168" t="s">
        <v>2589</v>
      </c>
      <c r="AU168">
        <v>2004</v>
      </c>
      <c r="AV168">
        <v>51</v>
      </c>
      <c r="AW168">
        <v>2</v>
      </c>
      <c r="AX168" t="s">
        <v>74</v>
      </c>
      <c r="AY168" t="s">
        <v>74</v>
      </c>
      <c r="AZ168" t="s">
        <v>74</v>
      </c>
      <c r="BA168" t="s">
        <v>74</v>
      </c>
      <c r="BB168">
        <v>281</v>
      </c>
      <c r="BC168">
        <v>305</v>
      </c>
      <c r="BD168" t="s">
        <v>74</v>
      </c>
      <c r="BE168" t="s">
        <v>2886</v>
      </c>
      <c r="BF168" t="str">
        <f>HYPERLINK("http://dx.doi.org/10.1016/j.dsr.2003.10.002","http://dx.doi.org/10.1016/j.dsr.2003.10.002")</f>
        <v>http://dx.doi.org/10.1016/j.dsr.2003.10.002</v>
      </c>
      <c r="BG168" t="s">
        <v>74</v>
      </c>
      <c r="BH168" t="s">
        <v>74</v>
      </c>
      <c r="BI168">
        <v>25</v>
      </c>
      <c r="BJ168" t="s">
        <v>477</v>
      </c>
      <c r="BK168" t="s">
        <v>96</v>
      </c>
      <c r="BL168" t="s">
        <v>477</v>
      </c>
      <c r="BM168" t="s">
        <v>2887</v>
      </c>
      <c r="BN168" t="s">
        <v>74</v>
      </c>
      <c r="BO168" t="s">
        <v>74</v>
      </c>
      <c r="BP168" t="s">
        <v>74</v>
      </c>
      <c r="BQ168" t="s">
        <v>74</v>
      </c>
      <c r="BR168" t="s">
        <v>99</v>
      </c>
      <c r="BS168" t="s">
        <v>2888</v>
      </c>
      <c r="BT168" t="str">
        <f>HYPERLINK("https%3A%2F%2Fwww.webofscience.com%2Fwos%2Fwoscc%2Ffull-record%2FWOS:000220955800008","View Full Record in Web of Science")</f>
        <v>View Full Record in Web of Science</v>
      </c>
    </row>
    <row r="169" spans="1:72" x14ac:dyDescent="0.15">
      <c r="A169" t="s">
        <v>72</v>
      </c>
      <c r="B169" t="s">
        <v>2889</v>
      </c>
      <c r="C169" t="s">
        <v>74</v>
      </c>
      <c r="D169" t="s">
        <v>74</v>
      </c>
      <c r="E169" t="s">
        <v>74</v>
      </c>
      <c r="F169" t="s">
        <v>2889</v>
      </c>
      <c r="G169" t="s">
        <v>74</v>
      </c>
      <c r="H169" t="s">
        <v>74</v>
      </c>
      <c r="I169" t="s">
        <v>2890</v>
      </c>
      <c r="J169" t="s">
        <v>2872</v>
      </c>
      <c r="K169" t="s">
        <v>74</v>
      </c>
      <c r="L169" t="s">
        <v>74</v>
      </c>
      <c r="M169" t="s">
        <v>77</v>
      </c>
      <c r="N169" t="s">
        <v>268</v>
      </c>
      <c r="O169" t="s">
        <v>74</v>
      </c>
      <c r="P169" t="s">
        <v>74</v>
      </c>
      <c r="Q169" t="s">
        <v>74</v>
      </c>
      <c r="R169" t="s">
        <v>74</v>
      </c>
      <c r="S169" t="s">
        <v>74</v>
      </c>
      <c r="T169" t="s">
        <v>2891</v>
      </c>
      <c r="U169" t="s">
        <v>2892</v>
      </c>
      <c r="V169" t="s">
        <v>2893</v>
      </c>
      <c r="W169" t="s">
        <v>2894</v>
      </c>
      <c r="X169" t="s">
        <v>2895</v>
      </c>
      <c r="Y169" t="s">
        <v>2896</v>
      </c>
      <c r="Z169" t="s">
        <v>2897</v>
      </c>
      <c r="AA169" t="s">
        <v>2898</v>
      </c>
      <c r="AB169" t="s">
        <v>2899</v>
      </c>
      <c r="AC169" t="s">
        <v>74</v>
      </c>
      <c r="AD169" t="s">
        <v>74</v>
      </c>
      <c r="AE169" t="s">
        <v>74</v>
      </c>
      <c r="AF169" t="s">
        <v>74</v>
      </c>
      <c r="AG169">
        <v>130</v>
      </c>
      <c r="AH169">
        <v>36</v>
      </c>
      <c r="AI169">
        <v>43</v>
      </c>
      <c r="AJ169">
        <v>1</v>
      </c>
      <c r="AK169">
        <v>10</v>
      </c>
      <c r="AL169" t="s">
        <v>213</v>
      </c>
      <c r="AM169" t="s">
        <v>214</v>
      </c>
      <c r="AN169" t="s">
        <v>215</v>
      </c>
      <c r="AO169" t="s">
        <v>2882</v>
      </c>
      <c r="AP169" t="s">
        <v>2883</v>
      </c>
      <c r="AQ169" t="s">
        <v>74</v>
      </c>
      <c r="AR169" t="s">
        <v>2884</v>
      </c>
      <c r="AS169" t="s">
        <v>2885</v>
      </c>
      <c r="AT169" t="s">
        <v>2589</v>
      </c>
      <c r="AU169">
        <v>2004</v>
      </c>
      <c r="AV169">
        <v>51</v>
      </c>
      <c r="AW169">
        <v>2</v>
      </c>
      <c r="AX169" t="s">
        <v>74</v>
      </c>
      <c r="AY169" t="s">
        <v>74</v>
      </c>
      <c r="AZ169" t="s">
        <v>74</v>
      </c>
      <c r="BA169" t="s">
        <v>74</v>
      </c>
      <c r="BB169">
        <v>307</v>
      </c>
      <c r="BC169">
        <v>332</v>
      </c>
      <c r="BD169" t="s">
        <v>74</v>
      </c>
      <c r="BE169" t="s">
        <v>2900</v>
      </c>
      <c r="BF169" t="str">
        <f>HYPERLINK("http://dx.doi.org/10.1016/j.dsr.2003.10.010","http://dx.doi.org/10.1016/j.dsr.2003.10.010")</f>
        <v>http://dx.doi.org/10.1016/j.dsr.2003.10.010</v>
      </c>
      <c r="BG169" t="s">
        <v>74</v>
      </c>
      <c r="BH169" t="s">
        <v>74</v>
      </c>
      <c r="BI169">
        <v>26</v>
      </c>
      <c r="BJ169" t="s">
        <v>477</v>
      </c>
      <c r="BK169" t="s">
        <v>96</v>
      </c>
      <c r="BL169" t="s">
        <v>477</v>
      </c>
      <c r="BM169" t="s">
        <v>2887</v>
      </c>
      <c r="BN169" t="s">
        <v>74</v>
      </c>
      <c r="BO169" t="s">
        <v>74</v>
      </c>
      <c r="BP169" t="s">
        <v>74</v>
      </c>
      <c r="BQ169" t="s">
        <v>74</v>
      </c>
      <c r="BR169" t="s">
        <v>99</v>
      </c>
      <c r="BS169" t="s">
        <v>2901</v>
      </c>
      <c r="BT169" t="str">
        <f>HYPERLINK("https%3A%2F%2Fwww.webofscience.com%2Fwos%2Fwoscc%2Ffull-record%2FWOS:000220955800009","View Full Record in Web of Science")</f>
        <v>View Full Record in Web of Science</v>
      </c>
    </row>
    <row r="170" spans="1:72" x14ac:dyDescent="0.15">
      <c r="A170" t="s">
        <v>72</v>
      </c>
      <c r="B170" t="s">
        <v>2902</v>
      </c>
      <c r="C170" t="s">
        <v>74</v>
      </c>
      <c r="D170" t="s">
        <v>74</v>
      </c>
      <c r="E170" t="s">
        <v>74</v>
      </c>
      <c r="F170" t="s">
        <v>2902</v>
      </c>
      <c r="G170" t="s">
        <v>74</v>
      </c>
      <c r="H170" t="s">
        <v>74</v>
      </c>
      <c r="I170" t="s">
        <v>2903</v>
      </c>
      <c r="J170" t="s">
        <v>2872</v>
      </c>
      <c r="K170" t="s">
        <v>74</v>
      </c>
      <c r="L170" t="s">
        <v>74</v>
      </c>
      <c r="M170" t="s">
        <v>77</v>
      </c>
      <c r="N170" t="s">
        <v>78</v>
      </c>
      <c r="O170" t="s">
        <v>74</v>
      </c>
      <c r="P170" t="s">
        <v>74</v>
      </c>
      <c r="Q170" t="s">
        <v>74</v>
      </c>
      <c r="R170" t="s">
        <v>74</v>
      </c>
      <c r="S170" t="s">
        <v>74</v>
      </c>
      <c r="T170" t="s">
        <v>2904</v>
      </c>
      <c r="U170" t="s">
        <v>2905</v>
      </c>
      <c r="V170" t="s">
        <v>2906</v>
      </c>
      <c r="W170" t="s">
        <v>2907</v>
      </c>
      <c r="X170" t="s">
        <v>2908</v>
      </c>
      <c r="Y170" t="s">
        <v>2909</v>
      </c>
      <c r="Z170" t="s">
        <v>2910</v>
      </c>
      <c r="AA170" t="s">
        <v>2911</v>
      </c>
      <c r="AB170" t="s">
        <v>2912</v>
      </c>
      <c r="AC170" t="s">
        <v>74</v>
      </c>
      <c r="AD170" t="s">
        <v>74</v>
      </c>
      <c r="AE170" t="s">
        <v>74</v>
      </c>
      <c r="AF170" t="s">
        <v>74</v>
      </c>
      <c r="AG170">
        <v>27</v>
      </c>
      <c r="AH170">
        <v>19</v>
      </c>
      <c r="AI170">
        <v>27</v>
      </c>
      <c r="AJ170">
        <v>0</v>
      </c>
      <c r="AK170">
        <v>6</v>
      </c>
      <c r="AL170" t="s">
        <v>213</v>
      </c>
      <c r="AM170" t="s">
        <v>214</v>
      </c>
      <c r="AN170" t="s">
        <v>215</v>
      </c>
      <c r="AO170" t="s">
        <v>2882</v>
      </c>
      <c r="AP170" t="s">
        <v>2883</v>
      </c>
      <c r="AQ170" t="s">
        <v>74</v>
      </c>
      <c r="AR170" t="s">
        <v>2884</v>
      </c>
      <c r="AS170" t="s">
        <v>2885</v>
      </c>
      <c r="AT170" t="s">
        <v>2589</v>
      </c>
      <c r="AU170">
        <v>2004</v>
      </c>
      <c r="AV170">
        <v>51</v>
      </c>
      <c r="AW170">
        <v>2</v>
      </c>
      <c r="AX170" t="s">
        <v>74</v>
      </c>
      <c r="AY170" t="s">
        <v>74</v>
      </c>
      <c r="AZ170" t="s">
        <v>74</v>
      </c>
      <c r="BA170" t="s">
        <v>74</v>
      </c>
      <c r="BB170">
        <v>333</v>
      </c>
      <c r="BC170">
        <v>347</v>
      </c>
      <c r="BD170" t="s">
        <v>74</v>
      </c>
      <c r="BE170" t="s">
        <v>2913</v>
      </c>
      <c r="BF170" t="str">
        <f>HYPERLINK("http://dx.doi.org/10.1016/j.dsr.2003.10.005","http://dx.doi.org/10.1016/j.dsr.2003.10.005")</f>
        <v>http://dx.doi.org/10.1016/j.dsr.2003.10.005</v>
      </c>
      <c r="BG170" t="s">
        <v>74</v>
      </c>
      <c r="BH170" t="s">
        <v>74</v>
      </c>
      <c r="BI170">
        <v>15</v>
      </c>
      <c r="BJ170" t="s">
        <v>477</v>
      </c>
      <c r="BK170" t="s">
        <v>96</v>
      </c>
      <c r="BL170" t="s">
        <v>477</v>
      </c>
      <c r="BM170" t="s">
        <v>2887</v>
      </c>
      <c r="BN170" t="s">
        <v>74</v>
      </c>
      <c r="BO170" t="s">
        <v>156</v>
      </c>
      <c r="BP170" t="s">
        <v>74</v>
      </c>
      <c r="BQ170" t="s">
        <v>74</v>
      </c>
      <c r="BR170" t="s">
        <v>99</v>
      </c>
      <c r="BS170" t="s">
        <v>2914</v>
      </c>
      <c r="BT170" t="str">
        <f>HYPERLINK("https%3A%2F%2Fwww.webofscience.com%2Fwos%2Fwoscc%2Ffull-record%2FWOS:000220955800010","View Full Record in Web of Science")</f>
        <v>View Full Record in Web of Science</v>
      </c>
    </row>
    <row r="171" spans="1:72" x14ac:dyDescent="0.15">
      <c r="A171" t="s">
        <v>72</v>
      </c>
      <c r="B171" t="s">
        <v>2915</v>
      </c>
      <c r="C171" t="s">
        <v>74</v>
      </c>
      <c r="D171" t="s">
        <v>74</v>
      </c>
      <c r="E171" t="s">
        <v>74</v>
      </c>
      <c r="F171" t="s">
        <v>2915</v>
      </c>
      <c r="G171" t="s">
        <v>74</v>
      </c>
      <c r="H171" t="s">
        <v>74</v>
      </c>
      <c r="I171" t="s">
        <v>2916</v>
      </c>
      <c r="J171" t="s">
        <v>1999</v>
      </c>
      <c r="K171" t="s">
        <v>74</v>
      </c>
      <c r="L171" t="s">
        <v>74</v>
      </c>
      <c r="M171" t="s">
        <v>77</v>
      </c>
      <c r="N171" t="s">
        <v>78</v>
      </c>
      <c r="O171" t="s">
        <v>74</v>
      </c>
      <c r="P171" t="s">
        <v>74</v>
      </c>
      <c r="Q171" t="s">
        <v>74</v>
      </c>
      <c r="R171" t="s">
        <v>74</v>
      </c>
      <c r="S171" t="s">
        <v>74</v>
      </c>
      <c r="T171" t="s">
        <v>2917</v>
      </c>
      <c r="U171" t="s">
        <v>2918</v>
      </c>
      <c r="V171" t="s">
        <v>2919</v>
      </c>
      <c r="W171" t="s">
        <v>2920</v>
      </c>
      <c r="X171" t="s">
        <v>2921</v>
      </c>
      <c r="Y171" t="s">
        <v>2922</v>
      </c>
      <c r="Z171" t="s">
        <v>2923</v>
      </c>
      <c r="AA171" t="s">
        <v>74</v>
      </c>
      <c r="AB171" t="s">
        <v>74</v>
      </c>
      <c r="AC171" t="s">
        <v>74</v>
      </c>
      <c r="AD171" t="s">
        <v>74</v>
      </c>
      <c r="AE171" t="s">
        <v>74</v>
      </c>
      <c r="AF171" t="s">
        <v>74</v>
      </c>
      <c r="AG171">
        <v>50</v>
      </c>
      <c r="AH171">
        <v>77</v>
      </c>
      <c r="AI171">
        <v>89</v>
      </c>
      <c r="AJ171">
        <v>0</v>
      </c>
      <c r="AK171">
        <v>62</v>
      </c>
      <c r="AL171" t="s">
        <v>198</v>
      </c>
      <c r="AM171" t="s">
        <v>178</v>
      </c>
      <c r="AN171" t="s">
        <v>179</v>
      </c>
      <c r="AO171" t="s">
        <v>2924</v>
      </c>
      <c r="AP171" t="s">
        <v>2925</v>
      </c>
      <c r="AQ171" t="s">
        <v>74</v>
      </c>
      <c r="AR171" t="s">
        <v>1999</v>
      </c>
      <c r="AS171" t="s">
        <v>2926</v>
      </c>
      <c r="AT171" t="s">
        <v>2589</v>
      </c>
      <c r="AU171">
        <v>2004</v>
      </c>
      <c r="AV171">
        <v>85</v>
      </c>
      <c r="AW171">
        <v>2</v>
      </c>
      <c r="AX171" t="s">
        <v>74</v>
      </c>
      <c r="AY171" t="s">
        <v>74</v>
      </c>
      <c r="AZ171" t="s">
        <v>74</v>
      </c>
      <c r="BA171" t="s">
        <v>74</v>
      </c>
      <c r="BB171">
        <v>398</v>
      </c>
      <c r="BC171">
        <v>410</v>
      </c>
      <c r="BD171" t="s">
        <v>74</v>
      </c>
      <c r="BE171" t="s">
        <v>2927</v>
      </c>
      <c r="BF171" t="str">
        <f>HYPERLINK("http://dx.doi.org/10.1890/03-4005","http://dx.doi.org/10.1890/03-4005")</f>
        <v>http://dx.doi.org/10.1890/03-4005</v>
      </c>
      <c r="BG171" t="s">
        <v>74</v>
      </c>
      <c r="BH171" t="s">
        <v>74</v>
      </c>
      <c r="BI171">
        <v>13</v>
      </c>
      <c r="BJ171" t="s">
        <v>2926</v>
      </c>
      <c r="BK171" t="s">
        <v>96</v>
      </c>
      <c r="BL171" t="s">
        <v>144</v>
      </c>
      <c r="BM171" t="s">
        <v>2928</v>
      </c>
      <c r="BN171" t="s">
        <v>74</v>
      </c>
      <c r="BO171" t="s">
        <v>74</v>
      </c>
      <c r="BP171" t="s">
        <v>74</v>
      </c>
      <c r="BQ171" t="s">
        <v>74</v>
      </c>
      <c r="BR171" t="s">
        <v>99</v>
      </c>
      <c r="BS171" t="s">
        <v>2929</v>
      </c>
      <c r="BT171" t="str">
        <f>HYPERLINK("https%3A%2F%2Fwww.webofscience.com%2Fwos%2Fwoscc%2Ffull-record%2FWOS:000220108700011","View Full Record in Web of Science")</f>
        <v>View Full Record in Web of Science</v>
      </c>
    </row>
    <row r="172" spans="1:72" x14ac:dyDescent="0.15">
      <c r="A172" t="s">
        <v>72</v>
      </c>
      <c r="B172" t="s">
        <v>2930</v>
      </c>
      <c r="C172" t="s">
        <v>74</v>
      </c>
      <c r="D172" t="s">
        <v>74</v>
      </c>
      <c r="E172" t="s">
        <v>74</v>
      </c>
      <c r="F172" t="s">
        <v>2930</v>
      </c>
      <c r="G172" t="s">
        <v>74</v>
      </c>
      <c r="H172" t="s">
        <v>74</v>
      </c>
      <c r="I172" t="s">
        <v>2931</v>
      </c>
      <c r="J172" t="s">
        <v>2932</v>
      </c>
      <c r="K172" t="s">
        <v>74</v>
      </c>
      <c r="L172" t="s">
        <v>74</v>
      </c>
      <c r="M172" t="s">
        <v>77</v>
      </c>
      <c r="N172" t="s">
        <v>78</v>
      </c>
      <c r="O172" t="s">
        <v>74</v>
      </c>
      <c r="P172" t="s">
        <v>74</v>
      </c>
      <c r="Q172" t="s">
        <v>74</v>
      </c>
      <c r="R172" t="s">
        <v>74</v>
      </c>
      <c r="S172" t="s">
        <v>74</v>
      </c>
      <c r="T172" t="s">
        <v>74</v>
      </c>
      <c r="U172" t="s">
        <v>2933</v>
      </c>
      <c r="V172" t="s">
        <v>2934</v>
      </c>
      <c r="W172" t="s">
        <v>2935</v>
      </c>
      <c r="X172" t="s">
        <v>2936</v>
      </c>
      <c r="Y172" t="s">
        <v>74</v>
      </c>
      <c r="Z172" t="s">
        <v>2937</v>
      </c>
      <c r="AA172" t="s">
        <v>2938</v>
      </c>
      <c r="AB172" t="s">
        <v>2939</v>
      </c>
      <c r="AC172" t="s">
        <v>74</v>
      </c>
      <c r="AD172" t="s">
        <v>74</v>
      </c>
      <c r="AE172" t="s">
        <v>74</v>
      </c>
      <c r="AF172" t="s">
        <v>74</v>
      </c>
      <c r="AG172">
        <v>40</v>
      </c>
      <c r="AH172">
        <v>21</v>
      </c>
      <c r="AI172">
        <v>21</v>
      </c>
      <c r="AJ172">
        <v>1</v>
      </c>
      <c r="AK172">
        <v>8</v>
      </c>
      <c r="AL172" t="s">
        <v>86</v>
      </c>
      <c r="AM172" t="s">
        <v>87</v>
      </c>
      <c r="AN172" t="s">
        <v>88</v>
      </c>
      <c r="AO172" t="s">
        <v>2940</v>
      </c>
      <c r="AP172" t="s">
        <v>2941</v>
      </c>
      <c r="AQ172" t="s">
        <v>74</v>
      </c>
      <c r="AR172" t="s">
        <v>2942</v>
      </c>
      <c r="AS172" t="s">
        <v>2943</v>
      </c>
      <c r="AT172" t="s">
        <v>2589</v>
      </c>
      <c r="AU172">
        <v>2004</v>
      </c>
      <c r="AV172">
        <v>24</v>
      </c>
      <c r="AW172">
        <v>1</v>
      </c>
      <c r="AX172" t="s">
        <v>74</v>
      </c>
      <c r="AY172" t="s">
        <v>74</v>
      </c>
      <c r="AZ172" t="s">
        <v>74</v>
      </c>
      <c r="BA172" t="s">
        <v>74</v>
      </c>
      <c r="BB172">
        <v>32</v>
      </c>
      <c r="BC172">
        <v>45</v>
      </c>
      <c r="BD172" t="s">
        <v>74</v>
      </c>
      <c r="BE172" t="s">
        <v>2944</v>
      </c>
      <c r="BF172" t="str">
        <f>HYPERLINK("http://dx.doi.org/10.1007/s00367-003-0156-8","http://dx.doi.org/10.1007/s00367-003-0156-8")</f>
        <v>http://dx.doi.org/10.1007/s00367-003-0156-8</v>
      </c>
      <c r="BG172" t="s">
        <v>74</v>
      </c>
      <c r="BH172" t="s">
        <v>74</v>
      </c>
      <c r="BI172">
        <v>14</v>
      </c>
      <c r="BJ172" t="s">
        <v>2161</v>
      </c>
      <c r="BK172" t="s">
        <v>96</v>
      </c>
      <c r="BL172" t="s">
        <v>2162</v>
      </c>
      <c r="BM172" t="s">
        <v>2945</v>
      </c>
      <c r="BN172" t="s">
        <v>74</v>
      </c>
      <c r="BO172" t="s">
        <v>74</v>
      </c>
      <c r="BP172" t="s">
        <v>74</v>
      </c>
      <c r="BQ172" t="s">
        <v>74</v>
      </c>
      <c r="BR172" t="s">
        <v>99</v>
      </c>
      <c r="BS172" t="s">
        <v>2946</v>
      </c>
      <c r="BT172" t="str">
        <f>HYPERLINK("https%3A%2F%2Fwww.webofscience.com%2Fwos%2Fwoscc%2Ffull-record%2FWOS:000188664000005","View Full Record in Web of Science")</f>
        <v>View Full Record in Web of Science</v>
      </c>
    </row>
    <row r="173" spans="1:72" x14ac:dyDescent="0.15">
      <c r="A173" t="s">
        <v>72</v>
      </c>
      <c r="B173" t="s">
        <v>2947</v>
      </c>
      <c r="C173" t="s">
        <v>74</v>
      </c>
      <c r="D173" t="s">
        <v>74</v>
      </c>
      <c r="E173" t="s">
        <v>74</v>
      </c>
      <c r="F173" t="s">
        <v>2947</v>
      </c>
      <c r="G173" t="s">
        <v>74</v>
      </c>
      <c r="H173" t="s">
        <v>74</v>
      </c>
      <c r="I173" t="s">
        <v>2948</v>
      </c>
      <c r="J173" t="s">
        <v>1287</v>
      </c>
      <c r="K173" t="s">
        <v>74</v>
      </c>
      <c r="L173" t="s">
        <v>74</v>
      </c>
      <c r="M173" t="s">
        <v>77</v>
      </c>
      <c r="N173" t="s">
        <v>78</v>
      </c>
      <c r="O173" t="s">
        <v>74</v>
      </c>
      <c r="P173" t="s">
        <v>74</v>
      </c>
      <c r="Q173" t="s">
        <v>74</v>
      </c>
      <c r="R173" t="s">
        <v>74</v>
      </c>
      <c r="S173" t="s">
        <v>74</v>
      </c>
      <c r="T173" t="s">
        <v>74</v>
      </c>
      <c r="U173" t="s">
        <v>2949</v>
      </c>
      <c r="V173" t="s">
        <v>2950</v>
      </c>
      <c r="W173" t="s">
        <v>2951</v>
      </c>
      <c r="X173" t="s">
        <v>2952</v>
      </c>
      <c r="Y173" t="s">
        <v>2953</v>
      </c>
      <c r="Z173" t="s">
        <v>2954</v>
      </c>
      <c r="AA173" t="s">
        <v>74</v>
      </c>
      <c r="AB173" t="s">
        <v>74</v>
      </c>
      <c r="AC173" t="s">
        <v>74</v>
      </c>
      <c r="AD173" t="s">
        <v>74</v>
      </c>
      <c r="AE173" t="s">
        <v>74</v>
      </c>
      <c r="AF173" t="s">
        <v>74</v>
      </c>
      <c r="AG173">
        <v>45</v>
      </c>
      <c r="AH173">
        <v>75</v>
      </c>
      <c r="AI173">
        <v>88</v>
      </c>
      <c r="AJ173">
        <v>2</v>
      </c>
      <c r="AK173">
        <v>41</v>
      </c>
      <c r="AL173" t="s">
        <v>213</v>
      </c>
      <c r="AM173" t="s">
        <v>214</v>
      </c>
      <c r="AN173" t="s">
        <v>215</v>
      </c>
      <c r="AO173" t="s">
        <v>1294</v>
      </c>
      <c r="AP173" t="s">
        <v>1295</v>
      </c>
      <c r="AQ173" t="s">
        <v>74</v>
      </c>
      <c r="AR173" t="s">
        <v>1296</v>
      </c>
      <c r="AS173" t="s">
        <v>1297</v>
      </c>
      <c r="AT173" t="s">
        <v>2589</v>
      </c>
      <c r="AU173">
        <v>2004</v>
      </c>
      <c r="AV173">
        <v>68</v>
      </c>
      <c r="AW173">
        <v>4</v>
      </c>
      <c r="AX173" t="s">
        <v>74</v>
      </c>
      <c r="AY173" t="s">
        <v>74</v>
      </c>
      <c r="AZ173" t="s">
        <v>74</v>
      </c>
      <c r="BA173" t="s">
        <v>74</v>
      </c>
      <c r="BB173">
        <v>715</v>
      </c>
      <c r="BC173">
        <v>727</v>
      </c>
      <c r="BD173" t="s">
        <v>74</v>
      </c>
      <c r="BE173" t="s">
        <v>2955</v>
      </c>
      <c r="BF173" t="str">
        <f>HYPERLINK("http://dx.doi.org/10.1016/S0016-7037(03)00501-5","http://dx.doi.org/10.1016/S0016-7037(03)00501-5")</f>
        <v>http://dx.doi.org/10.1016/S0016-7037(03)00501-5</v>
      </c>
      <c r="BG173" t="s">
        <v>74</v>
      </c>
      <c r="BH173" t="s">
        <v>74</v>
      </c>
      <c r="BI173">
        <v>13</v>
      </c>
      <c r="BJ173" t="s">
        <v>262</v>
      </c>
      <c r="BK173" t="s">
        <v>96</v>
      </c>
      <c r="BL173" t="s">
        <v>262</v>
      </c>
      <c r="BM173" t="s">
        <v>2956</v>
      </c>
      <c r="BN173" t="s">
        <v>74</v>
      </c>
      <c r="BO173" t="s">
        <v>541</v>
      </c>
      <c r="BP173" t="s">
        <v>74</v>
      </c>
      <c r="BQ173" t="s">
        <v>74</v>
      </c>
      <c r="BR173" t="s">
        <v>99</v>
      </c>
      <c r="BS173" t="s">
        <v>2957</v>
      </c>
      <c r="BT173" t="str">
        <f>HYPERLINK("https%3A%2F%2Fwww.webofscience.com%2Fwos%2Fwoscc%2Ffull-record%2FWOS:000188882500003","View Full Record in Web of Science")</f>
        <v>View Full Record in Web of Science</v>
      </c>
    </row>
    <row r="174" spans="1:72" x14ac:dyDescent="0.15">
      <c r="A174" t="s">
        <v>72</v>
      </c>
      <c r="B174" t="s">
        <v>2958</v>
      </c>
      <c r="C174" t="s">
        <v>74</v>
      </c>
      <c r="D174" t="s">
        <v>74</v>
      </c>
      <c r="E174" t="s">
        <v>74</v>
      </c>
      <c r="F174" t="s">
        <v>2958</v>
      </c>
      <c r="G174" t="s">
        <v>74</v>
      </c>
      <c r="H174" t="s">
        <v>74</v>
      </c>
      <c r="I174" t="s">
        <v>2959</v>
      </c>
      <c r="J174" t="s">
        <v>1287</v>
      </c>
      <c r="K174" t="s">
        <v>74</v>
      </c>
      <c r="L174" t="s">
        <v>74</v>
      </c>
      <c r="M174" t="s">
        <v>77</v>
      </c>
      <c r="N174" t="s">
        <v>78</v>
      </c>
      <c r="O174" t="s">
        <v>74</v>
      </c>
      <c r="P174" t="s">
        <v>74</v>
      </c>
      <c r="Q174" t="s">
        <v>74</v>
      </c>
      <c r="R174" t="s">
        <v>74</v>
      </c>
      <c r="S174" t="s">
        <v>74</v>
      </c>
      <c r="T174" t="s">
        <v>74</v>
      </c>
      <c r="U174" t="s">
        <v>2960</v>
      </c>
      <c r="V174" t="s">
        <v>2961</v>
      </c>
      <c r="W174" t="s">
        <v>2962</v>
      </c>
      <c r="X174" t="s">
        <v>2963</v>
      </c>
      <c r="Y174" t="s">
        <v>2964</v>
      </c>
      <c r="Z174" t="s">
        <v>2965</v>
      </c>
      <c r="AA174" t="s">
        <v>2966</v>
      </c>
      <c r="AB174" t="s">
        <v>2967</v>
      </c>
      <c r="AC174" t="s">
        <v>2968</v>
      </c>
      <c r="AD174" t="s">
        <v>637</v>
      </c>
      <c r="AE174" t="s">
        <v>74</v>
      </c>
      <c r="AF174" t="s">
        <v>74</v>
      </c>
      <c r="AG174">
        <v>68</v>
      </c>
      <c r="AH174">
        <v>125</v>
      </c>
      <c r="AI174">
        <v>135</v>
      </c>
      <c r="AJ174">
        <v>1</v>
      </c>
      <c r="AK174">
        <v>25</v>
      </c>
      <c r="AL174" t="s">
        <v>213</v>
      </c>
      <c r="AM174" t="s">
        <v>214</v>
      </c>
      <c r="AN174" t="s">
        <v>215</v>
      </c>
      <c r="AO174" t="s">
        <v>1294</v>
      </c>
      <c r="AP174" t="s">
        <v>74</v>
      </c>
      <c r="AQ174" t="s">
        <v>74</v>
      </c>
      <c r="AR174" t="s">
        <v>1296</v>
      </c>
      <c r="AS174" t="s">
        <v>1297</v>
      </c>
      <c r="AT174" t="s">
        <v>2589</v>
      </c>
      <c r="AU174">
        <v>2004</v>
      </c>
      <c r="AV174">
        <v>68</v>
      </c>
      <c r="AW174">
        <v>4</v>
      </c>
      <c r="AX174" t="s">
        <v>74</v>
      </c>
      <c r="AY174" t="s">
        <v>74</v>
      </c>
      <c r="AZ174" t="s">
        <v>74</v>
      </c>
      <c r="BA174" t="s">
        <v>74</v>
      </c>
      <c r="BB174">
        <v>893</v>
      </c>
      <c r="BC174">
        <v>916</v>
      </c>
      <c r="BD174" t="s">
        <v>74</v>
      </c>
      <c r="BE174" t="s">
        <v>2969</v>
      </c>
      <c r="BF174" t="str">
        <f>HYPERLINK("http://dx.doi.org/10.1016/S0016-7037(03)00486-1","http://dx.doi.org/10.1016/S0016-7037(03)00486-1")</f>
        <v>http://dx.doi.org/10.1016/S0016-7037(03)00486-1</v>
      </c>
      <c r="BG174" t="s">
        <v>74</v>
      </c>
      <c r="BH174" t="s">
        <v>74</v>
      </c>
      <c r="BI174">
        <v>24</v>
      </c>
      <c r="BJ174" t="s">
        <v>262</v>
      </c>
      <c r="BK174" t="s">
        <v>96</v>
      </c>
      <c r="BL174" t="s">
        <v>262</v>
      </c>
      <c r="BM174" t="s">
        <v>2956</v>
      </c>
      <c r="BN174" t="s">
        <v>74</v>
      </c>
      <c r="BO174" t="s">
        <v>74</v>
      </c>
      <c r="BP174" t="s">
        <v>74</v>
      </c>
      <c r="BQ174" t="s">
        <v>74</v>
      </c>
      <c r="BR174" t="s">
        <v>99</v>
      </c>
      <c r="BS174" t="s">
        <v>2970</v>
      </c>
      <c r="BT174" t="str">
        <f>HYPERLINK("https%3A%2F%2Fwww.webofscience.com%2Fwos%2Fwoscc%2Ffull-record%2FWOS:000188882500016","View Full Record in Web of Science")</f>
        <v>View Full Record in Web of Science</v>
      </c>
    </row>
    <row r="175" spans="1:72" x14ac:dyDescent="0.15">
      <c r="A175" t="s">
        <v>72</v>
      </c>
      <c r="B175" t="s">
        <v>2971</v>
      </c>
      <c r="C175" t="s">
        <v>74</v>
      </c>
      <c r="D175" t="s">
        <v>74</v>
      </c>
      <c r="E175" t="s">
        <v>74</v>
      </c>
      <c r="F175" t="s">
        <v>2971</v>
      </c>
      <c r="G175" t="s">
        <v>74</v>
      </c>
      <c r="H175" t="s">
        <v>74</v>
      </c>
      <c r="I175" t="s">
        <v>2972</v>
      </c>
      <c r="J175" t="s">
        <v>2973</v>
      </c>
      <c r="K175" t="s">
        <v>74</v>
      </c>
      <c r="L175" t="s">
        <v>74</v>
      </c>
      <c r="M175" t="s">
        <v>77</v>
      </c>
      <c r="N175" t="s">
        <v>78</v>
      </c>
      <c r="O175" t="s">
        <v>74</v>
      </c>
      <c r="P175" t="s">
        <v>74</v>
      </c>
      <c r="Q175" t="s">
        <v>74</v>
      </c>
      <c r="R175" t="s">
        <v>74</v>
      </c>
      <c r="S175" t="s">
        <v>74</v>
      </c>
      <c r="T175" t="s">
        <v>2974</v>
      </c>
      <c r="U175" t="s">
        <v>2975</v>
      </c>
      <c r="V175" t="s">
        <v>2976</v>
      </c>
      <c r="W175" t="s">
        <v>2977</v>
      </c>
      <c r="X175" t="s">
        <v>2978</v>
      </c>
      <c r="Y175" t="s">
        <v>2979</v>
      </c>
      <c r="Z175" t="s">
        <v>2980</v>
      </c>
      <c r="AA175" t="s">
        <v>2981</v>
      </c>
      <c r="AB175" t="s">
        <v>2982</v>
      </c>
      <c r="AC175" t="s">
        <v>74</v>
      </c>
      <c r="AD175" t="s">
        <v>74</v>
      </c>
      <c r="AE175" t="s">
        <v>74</v>
      </c>
      <c r="AF175" t="s">
        <v>74</v>
      </c>
      <c r="AG175">
        <v>11</v>
      </c>
      <c r="AH175">
        <v>20</v>
      </c>
      <c r="AI175">
        <v>22</v>
      </c>
      <c r="AJ175">
        <v>0</v>
      </c>
      <c r="AK175">
        <v>6</v>
      </c>
      <c r="AL175" t="s">
        <v>277</v>
      </c>
      <c r="AM175" t="s">
        <v>214</v>
      </c>
      <c r="AN175" t="s">
        <v>278</v>
      </c>
      <c r="AO175" t="s">
        <v>2983</v>
      </c>
      <c r="AP175" t="s">
        <v>2984</v>
      </c>
      <c r="AQ175" t="s">
        <v>74</v>
      </c>
      <c r="AR175" t="s">
        <v>2985</v>
      </c>
      <c r="AS175" t="s">
        <v>2986</v>
      </c>
      <c r="AT175" t="s">
        <v>2589</v>
      </c>
      <c r="AU175">
        <v>2004</v>
      </c>
      <c r="AV175">
        <v>156</v>
      </c>
      <c r="AW175">
        <v>2</v>
      </c>
      <c r="AX175" t="s">
        <v>74</v>
      </c>
      <c r="AY175" t="s">
        <v>74</v>
      </c>
      <c r="AZ175" t="s">
        <v>74</v>
      </c>
      <c r="BA175" t="s">
        <v>74</v>
      </c>
      <c r="BB175">
        <v>195</v>
      </c>
      <c r="BC175">
        <v>199</v>
      </c>
      <c r="BD175" t="s">
        <v>74</v>
      </c>
      <c r="BE175" t="s">
        <v>2987</v>
      </c>
      <c r="BF175" t="str">
        <f>HYPERLINK("http://dx.doi.org/10.1111/j.1365-246X.2003.02189.x","http://dx.doi.org/10.1111/j.1365-246X.2003.02189.x")</f>
        <v>http://dx.doi.org/10.1111/j.1365-246X.2003.02189.x</v>
      </c>
      <c r="BG175" t="s">
        <v>74</v>
      </c>
      <c r="BH175" t="s">
        <v>74</v>
      </c>
      <c r="BI175">
        <v>5</v>
      </c>
      <c r="BJ175" t="s">
        <v>262</v>
      </c>
      <c r="BK175" t="s">
        <v>96</v>
      </c>
      <c r="BL175" t="s">
        <v>262</v>
      </c>
      <c r="BM175" t="s">
        <v>2988</v>
      </c>
      <c r="BN175" t="s">
        <v>74</v>
      </c>
      <c r="BO175" t="s">
        <v>541</v>
      </c>
      <c r="BP175" t="s">
        <v>74</v>
      </c>
      <c r="BQ175" t="s">
        <v>74</v>
      </c>
      <c r="BR175" t="s">
        <v>99</v>
      </c>
      <c r="BS175" t="s">
        <v>2989</v>
      </c>
      <c r="BT175" t="str">
        <f>HYPERLINK("https%3A%2F%2Fwww.webofscience.com%2Fwos%2Fwoscc%2Ffull-record%2FWOS:000188263000003","View Full Record in Web of Science")</f>
        <v>View Full Record in Web of Science</v>
      </c>
    </row>
    <row r="176" spans="1:72" x14ac:dyDescent="0.15">
      <c r="A176" t="s">
        <v>72</v>
      </c>
      <c r="B176" t="s">
        <v>2990</v>
      </c>
      <c r="C176" t="s">
        <v>74</v>
      </c>
      <c r="D176" t="s">
        <v>74</v>
      </c>
      <c r="E176" t="s">
        <v>74</v>
      </c>
      <c r="F176" t="s">
        <v>2990</v>
      </c>
      <c r="G176" t="s">
        <v>74</v>
      </c>
      <c r="H176" t="s">
        <v>74</v>
      </c>
      <c r="I176" t="s">
        <v>2991</v>
      </c>
      <c r="J176" t="s">
        <v>1386</v>
      </c>
      <c r="K176" t="s">
        <v>74</v>
      </c>
      <c r="L176" t="s">
        <v>74</v>
      </c>
      <c r="M176" t="s">
        <v>77</v>
      </c>
      <c r="N176" t="s">
        <v>78</v>
      </c>
      <c r="O176" t="s">
        <v>74</v>
      </c>
      <c r="P176" t="s">
        <v>74</v>
      </c>
      <c r="Q176" t="s">
        <v>74</v>
      </c>
      <c r="R176" t="s">
        <v>74</v>
      </c>
      <c r="S176" t="s">
        <v>74</v>
      </c>
      <c r="T176" t="s">
        <v>2992</v>
      </c>
      <c r="U176" t="s">
        <v>2993</v>
      </c>
      <c r="V176" t="s">
        <v>2994</v>
      </c>
      <c r="W176" t="s">
        <v>2995</v>
      </c>
      <c r="X176" t="s">
        <v>2996</v>
      </c>
      <c r="Y176" t="s">
        <v>2997</v>
      </c>
      <c r="Z176" t="s">
        <v>2998</v>
      </c>
      <c r="AA176" t="s">
        <v>2999</v>
      </c>
      <c r="AB176" t="s">
        <v>3000</v>
      </c>
      <c r="AC176" t="s">
        <v>74</v>
      </c>
      <c r="AD176" t="s">
        <v>74</v>
      </c>
      <c r="AE176" t="s">
        <v>74</v>
      </c>
      <c r="AF176" t="s">
        <v>74</v>
      </c>
      <c r="AG176">
        <v>80</v>
      </c>
      <c r="AH176">
        <v>66</v>
      </c>
      <c r="AI176">
        <v>72</v>
      </c>
      <c r="AJ176">
        <v>3</v>
      </c>
      <c r="AK176">
        <v>24</v>
      </c>
      <c r="AL176" t="s">
        <v>685</v>
      </c>
      <c r="AM176" t="s">
        <v>529</v>
      </c>
      <c r="AN176" t="s">
        <v>686</v>
      </c>
      <c r="AO176" t="s">
        <v>1396</v>
      </c>
      <c r="AP176" t="s">
        <v>3001</v>
      </c>
      <c r="AQ176" t="s">
        <v>74</v>
      </c>
      <c r="AR176" t="s">
        <v>1397</v>
      </c>
      <c r="AS176" t="s">
        <v>1398</v>
      </c>
      <c r="AT176" t="s">
        <v>2589</v>
      </c>
      <c r="AU176">
        <v>2004</v>
      </c>
      <c r="AV176">
        <v>40</v>
      </c>
      <c r="AW176" t="s">
        <v>710</v>
      </c>
      <c r="AX176" t="s">
        <v>74</v>
      </c>
      <c r="AY176" t="s">
        <v>74</v>
      </c>
      <c r="AZ176" t="s">
        <v>74</v>
      </c>
      <c r="BA176" t="s">
        <v>74</v>
      </c>
      <c r="BB176">
        <v>295</v>
      </c>
      <c r="BC176">
        <v>313</v>
      </c>
      <c r="BD176" t="s">
        <v>74</v>
      </c>
      <c r="BE176" t="s">
        <v>3002</v>
      </c>
      <c r="BF176" t="str">
        <f>HYPERLINK("http://dx.doi.org/10.1016/j.gloplacha.2003.09.001","http://dx.doi.org/10.1016/j.gloplacha.2003.09.001")</f>
        <v>http://dx.doi.org/10.1016/j.gloplacha.2003.09.001</v>
      </c>
      <c r="BG176" t="s">
        <v>74</v>
      </c>
      <c r="BH176" t="s">
        <v>74</v>
      </c>
      <c r="BI176">
        <v>19</v>
      </c>
      <c r="BJ176" t="s">
        <v>1400</v>
      </c>
      <c r="BK176" t="s">
        <v>96</v>
      </c>
      <c r="BL176" t="s">
        <v>1401</v>
      </c>
      <c r="BM176" t="s">
        <v>3003</v>
      </c>
      <c r="BN176" t="s">
        <v>74</v>
      </c>
      <c r="BO176" t="s">
        <v>74</v>
      </c>
      <c r="BP176" t="s">
        <v>74</v>
      </c>
      <c r="BQ176" t="s">
        <v>74</v>
      </c>
      <c r="BR176" t="s">
        <v>99</v>
      </c>
      <c r="BS176" t="s">
        <v>3004</v>
      </c>
      <c r="BT176" t="str">
        <f>HYPERLINK("https%3A%2F%2Fwww.webofscience.com%2Fwos%2Fwoscc%2Ffull-record%2FWOS:000187967500006","View Full Record in Web of Science")</f>
        <v>View Full Record in Web of Science</v>
      </c>
    </row>
    <row r="177" spans="1:72" x14ac:dyDescent="0.15">
      <c r="A177" t="s">
        <v>72</v>
      </c>
      <c r="B177" t="s">
        <v>3005</v>
      </c>
      <c r="C177" t="s">
        <v>74</v>
      </c>
      <c r="D177" t="s">
        <v>74</v>
      </c>
      <c r="E177" t="s">
        <v>74</v>
      </c>
      <c r="F177" t="s">
        <v>3005</v>
      </c>
      <c r="G177" t="s">
        <v>74</v>
      </c>
      <c r="H177" t="s">
        <v>74</v>
      </c>
      <c r="I177" t="s">
        <v>3006</v>
      </c>
      <c r="J177" t="s">
        <v>3007</v>
      </c>
      <c r="K177" t="s">
        <v>74</v>
      </c>
      <c r="L177" t="s">
        <v>74</v>
      </c>
      <c r="M177" t="s">
        <v>77</v>
      </c>
      <c r="N177" t="s">
        <v>521</v>
      </c>
      <c r="O177" t="s">
        <v>74</v>
      </c>
      <c r="P177" t="s">
        <v>74</v>
      </c>
      <c r="Q177" t="s">
        <v>74</v>
      </c>
      <c r="R177" t="s">
        <v>74</v>
      </c>
      <c r="S177" t="s">
        <v>74</v>
      </c>
      <c r="T177" t="s">
        <v>74</v>
      </c>
      <c r="U177" t="s">
        <v>74</v>
      </c>
      <c r="V177" t="s">
        <v>74</v>
      </c>
      <c r="W177" t="s">
        <v>74</v>
      </c>
      <c r="X177" t="s">
        <v>74</v>
      </c>
      <c r="Y177" t="s">
        <v>74</v>
      </c>
      <c r="Z177" t="s">
        <v>74</v>
      </c>
      <c r="AA177" t="s">
        <v>3008</v>
      </c>
      <c r="AB177" t="s">
        <v>3009</v>
      </c>
      <c r="AC177" t="s">
        <v>74</v>
      </c>
      <c r="AD177" t="s">
        <v>74</v>
      </c>
      <c r="AE177" t="s">
        <v>74</v>
      </c>
      <c r="AF177" t="s">
        <v>74</v>
      </c>
      <c r="AG177">
        <v>1</v>
      </c>
      <c r="AH177">
        <v>14</v>
      </c>
      <c r="AI177">
        <v>14</v>
      </c>
      <c r="AJ177">
        <v>1</v>
      </c>
      <c r="AK177">
        <v>7</v>
      </c>
      <c r="AL177" t="s">
        <v>3010</v>
      </c>
      <c r="AM177" t="s">
        <v>1417</v>
      </c>
      <c r="AN177" t="s">
        <v>3011</v>
      </c>
      <c r="AO177" t="s">
        <v>3012</v>
      </c>
      <c r="AP177" t="s">
        <v>74</v>
      </c>
      <c r="AQ177" t="s">
        <v>74</v>
      </c>
      <c r="AR177" t="s">
        <v>3013</v>
      </c>
      <c r="AS177" t="s">
        <v>3014</v>
      </c>
      <c r="AT177" t="s">
        <v>2589</v>
      </c>
      <c r="AU177">
        <v>2004</v>
      </c>
      <c r="AV177">
        <v>61</v>
      </c>
      <c r="AW177">
        <v>1</v>
      </c>
      <c r="AX177" t="s">
        <v>74</v>
      </c>
      <c r="AY177" t="s">
        <v>74</v>
      </c>
      <c r="AZ177" t="s">
        <v>74</v>
      </c>
      <c r="BA177" t="s">
        <v>74</v>
      </c>
      <c r="BB177">
        <v>155</v>
      </c>
      <c r="BC177">
        <v>156</v>
      </c>
      <c r="BD177" t="s">
        <v>74</v>
      </c>
      <c r="BE177" t="s">
        <v>3015</v>
      </c>
      <c r="BF177" t="str">
        <f>HYPERLINK("http://dx.doi.org/10.1016/j.icesjms.2003.12.002","http://dx.doi.org/10.1016/j.icesjms.2003.12.002")</f>
        <v>http://dx.doi.org/10.1016/j.icesjms.2003.12.002</v>
      </c>
      <c r="BG177" t="s">
        <v>74</v>
      </c>
      <c r="BH177" t="s">
        <v>74</v>
      </c>
      <c r="BI177">
        <v>2</v>
      </c>
      <c r="BJ177" t="s">
        <v>3016</v>
      </c>
      <c r="BK177" t="s">
        <v>96</v>
      </c>
      <c r="BL177" t="s">
        <v>3016</v>
      </c>
      <c r="BM177" t="s">
        <v>3017</v>
      </c>
      <c r="BN177" t="s">
        <v>74</v>
      </c>
      <c r="BO177" t="s">
        <v>541</v>
      </c>
      <c r="BP177" t="s">
        <v>74</v>
      </c>
      <c r="BQ177" t="s">
        <v>74</v>
      </c>
      <c r="BR177" t="s">
        <v>99</v>
      </c>
      <c r="BS177" t="s">
        <v>3018</v>
      </c>
      <c r="BT177" t="str">
        <f>HYPERLINK("https%3A%2F%2Fwww.webofscience.com%2Fwos%2Fwoscc%2Ffull-record%2FWOS:000188812400015","View Full Record in Web of Science")</f>
        <v>View Full Record in Web of Science</v>
      </c>
    </row>
    <row r="178" spans="1:72" x14ac:dyDescent="0.15">
      <c r="A178" t="s">
        <v>72</v>
      </c>
      <c r="B178" t="s">
        <v>3019</v>
      </c>
      <c r="C178" t="s">
        <v>74</v>
      </c>
      <c r="D178" t="s">
        <v>74</v>
      </c>
      <c r="E178" t="s">
        <v>74</v>
      </c>
      <c r="F178" t="s">
        <v>3019</v>
      </c>
      <c r="G178" t="s">
        <v>74</v>
      </c>
      <c r="H178" t="s">
        <v>74</v>
      </c>
      <c r="I178" t="s">
        <v>3020</v>
      </c>
      <c r="J178" t="s">
        <v>3021</v>
      </c>
      <c r="K178" t="s">
        <v>74</v>
      </c>
      <c r="L178" t="s">
        <v>74</v>
      </c>
      <c r="M178" t="s">
        <v>77</v>
      </c>
      <c r="N178" t="s">
        <v>78</v>
      </c>
      <c r="O178" t="s">
        <v>74</v>
      </c>
      <c r="P178" t="s">
        <v>74</v>
      </c>
      <c r="Q178" t="s">
        <v>74</v>
      </c>
      <c r="R178" t="s">
        <v>74</v>
      </c>
      <c r="S178" t="s">
        <v>74</v>
      </c>
      <c r="T178" t="s">
        <v>74</v>
      </c>
      <c r="U178" t="s">
        <v>3022</v>
      </c>
      <c r="V178" t="s">
        <v>3023</v>
      </c>
      <c r="W178" t="s">
        <v>2212</v>
      </c>
      <c r="X178" t="s">
        <v>2213</v>
      </c>
      <c r="Y178" t="s">
        <v>2214</v>
      </c>
      <c r="Z178" t="s">
        <v>2215</v>
      </c>
      <c r="AA178" t="s">
        <v>3024</v>
      </c>
      <c r="AB178" t="s">
        <v>3025</v>
      </c>
      <c r="AC178" t="s">
        <v>74</v>
      </c>
      <c r="AD178" t="s">
        <v>74</v>
      </c>
      <c r="AE178" t="s">
        <v>74</v>
      </c>
      <c r="AF178" t="s">
        <v>74</v>
      </c>
      <c r="AG178">
        <v>60</v>
      </c>
      <c r="AH178">
        <v>2</v>
      </c>
      <c r="AI178">
        <v>2</v>
      </c>
      <c r="AJ178">
        <v>0</v>
      </c>
      <c r="AK178">
        <v>7</v>
      </c>
      <c r="AL178" t="s">
        <v>297</v>
      </c>
      <c r="AM178" t="s">
        <v>298</v>
      </c>
      <c r="AN178" t="s">
        <v>299</v>
      </c>
      <c r="AO178" t="s">
        <v>3026</v>
      </c>
      <c r="AP178" t="s">
        <v>74</v>
      </c>
      <c r="AQ178" t="s">
        <v>74</v>
      </c>
      <c r="AR178" t="s">
        <v>3027</v>
      </c>
      <c r="AS178" t="s">
        <v>3028</v>
      </c>
      <c r="AT178" t="s">
        <v>2589</v>
      </c>
      <c r="AU178">
        <v>2004</v>
      </c>
      <c r="AV178">
        <v>43</v>
      </c>
      <c r="AW178">
        <v>2</v>
      </c>
      <c r="AX178" t="s">
        <v>74</v>
      </c>
      <c r="AY178" t="s">
        <v>74</v>
      </c>
      <c r="AZ178" t="s">
        <v>74</v>
      </c>
      <c r="BA178" t="s">
        <v>74</v>
      </c>
      <c r="BB178">
        <v>350</v>
      </c>
      <c r="BC178">
        <v>362</v>
      </c>
      <c r="BD178" t="s">
        <v>74</v>
      </c>
      <c r="BE178" t="s">
        <v>3029</v>
      </c>
      <c r="BF178" t="str">
        <f>HYPERLINK("http://dx.doi.org/10.1175/1520-0450(2004)043&lt;0350:IRPOTA&gt;2.0.CO;2","http://dx.doi.org/10.1175/1520-0450(2004)043&lt;0350:IRPOTA&gt;2.0.CO;2")</f>
        <v>http://dx.doi.org/10.1175/1520-0450(2004)043&lt;0350:IRPOTA&gt;2.0.CO;2</v>
      </c>
      <c r="BG178" t="s">
        <v>74</v>
      </c>
      <c r="BH178" t="s">
        <v>74</v>
      </c>
      <c r="BI178">
        <v>13</v>
      </c>
      <c r="BJ178" t="s">
        <v>186</v>
      </c>
      <c r="BK178" t="s">
        <v>96</v>
      </c>
      <c r="BL178" t="s">
        <v>186</v>
      </c>
      <c r="BM178" t="s">
        <v>3030</v>
      </c>
      <c r="BN178" t="s">
        <v>74</v>
      </c>
      <c r="BO178" t="s">
        <v>541</v>
      </c>
      <c r="BP178" t="s">
        <v>74</v>
      </c>
      <c r="BQ178" t="s">
        <v>74</v>
      </c>
      <c r="BR178" t="s">
        <v>99</v>
      </c>
      <c r="BS178" t="s">
        <v>3031</v>
      </c>
      <c r="BT178" t="str">
        <f>HYPERLINK("https%3A%2F%2Fwww.webofscience.com%2Fwos%2Fwoscc%2Ffull-record%2FWOS:000189265200009","View Full Record in Web of Science")</f>
        <v>View Full Record in Web of Science</v>
      </c>
    </row>
    <row r="179" spans="1:72" x14ac:dyDescent="0.15">
      <c r="A179" t="s">
        <v>72</v>
      </c>
      <c r="B179" t="s">
        <v>3032</v>
      </c>
      <c r="C179" t="s">
        <v>74</v>
      </c>
      <c r="D179" t="s">
        <v>74</v>
      </c>
      <c r="E179" t="s">
        <v>74</v>
      </c>
      <c r="F179" t="s">
        <v>3032</v>
      </c>
      <c r="G179" t="s">
        <v>74</v>
      </c>
      <c r="H179" t="s">
        <v>74</v>
      </c>
      <c r="I179" t="s">
        <v>3033</v>
      </c>
      <c r="J179" t="s">
        <v>1558</v>
      </c>
      <c r="K179" t="s">
        <v>74</v>
      </c>
      <c r="L179" t="s">
        <v>74</v>
      </c>
      <c r="M179" t="s">
        <v>77</v>
      </c>
      <c r="N179" t="s">
        <v>78</v>
      </c>
      <c r="O179" t="s">
        <v>74</v>
      </c>
      <c r="P179" t="s">
        <v>74</v>
      </c>
      <c r="Q179" t="s">
        <v>74</v>
      </c>
      <c r="R179" t="s">
        <v>74</v>
      </c>
      <c r="S179" t="s">
        <v>74</v>
      </c>
      <c r="T179" t="s">
        <v>74</v>
      </c>
      <c r="U179" t="s">
        <v>3034</v>
      </c>
      <c r="V179" t="s">
        <v>3035</v>
      </c>
      <c r="W179" t="s">
        <v>3036</v>
      </c>
      <c r="X179" t="s">
        <v>3037</v>
      </c>
      <c r="Y179" t="s">
        <v>3038</v>
      </c>
      <c r="Z179" t="s">
        <v>3039</v>
      </c>
      <c r="AA179" t="s">
        <v>3040</v>
      </c>
      <c r="AB179" t="s">
        <v>74</v>
      </c>
      <c r="AC179" t="s">
        <v>74</v>
      </c>
      <c r="AD179" t="s">
        <v>74</v>
      </c>
      <c r="AE179" t="s">
        <v>74</v>
      </c>
      <c r="AF179" t="s">
        <v>74</v>
      </c>
      <c r="AG179">
        <v>60</v>
      </c>
      <c r="AH179">
        <v>102</v>
      </c>
      <c r="AI179">
        <v>112</v>
      </c>
      <c r="AJ179">
        <v>1</v>
      </c>
      <c r="AK179">
        <v>14</v>
      </c>
      <c r="AL179" t="s">
        <v>297</v>
      </c>
      <c r="AM179" t="s">
        <v>298</v>
      </c>
      <c r="AN179" t="s">
        <v>299</v>
      </c>
      <c r="AO179" t="s">
        <v>1568</v>
      </c>
      <c r="AP179" t="s">
        <v>1569</v>
      </c>
      <c r="AQ179" t="s">
        <v>74</v>
      </c>
      <c r="AR179" t="s">
        <v>1570</v>
      </c>
      <c r="AS179" t="s">
        <v>1571</v>
      </c>
      <c r="AT179" t="s">
        <v>2589</v>
      </c>
      <c r="AU179">
        <v>2004</v>
      </c>
      <c r="AV179">
        <v>17</v>
      </c>
      <c r="AW179">
        <v>3</v>
      </c>
      <c r="AX179" t="s">
        <v>74</v>
      </c>
      <c r="AY179" t="s">
        <v>74</v>
      </c>
      <c r="AZ179" t="s">
        <v>74</v>
      </c>
      <c r="BA179" t="s">
        <v>74</v>
      </c>
      <c r="BB179">
        <v>427</v>
      </c>
      <c r="BC179">
        <v>447</v>
      </c>
      <c r="BD179" t="s">
        <v>74</v>
      </c>
      <c r="BE179" t="s">
        <v>3041</v>
      </c>
      <c r="BF179" t="str">
        <f>HYPERLINK("http://dx.doi.org/10.1175/1520-0442(2004)017&lt;0427:MAPPIS&gt;2.0.CO;2","http://dx.doi.org/10.1175/1520-0442(2004)017&lt;0427:MAPPIS&gt;2.0.CO;2")</f>
        <v>http://dx.doi.org/10.1175/1520-0442(2004)017&lt;0427:MAPPIS&gt;2.0.CO;2</v>
      </c>
      <c r="BG179" t="s">
        <v>74</v>
      </c>
      <c r="BH179" t="s">
        <v>74</v>
      </c>
      <c r="BI179">
        <v>21</v>
      </c>
      <c r="BJ179" t="s">
        <v>186</v>
      </c>
      <c r="BK179" t="s">
        <v>96</v>
      </c>
      <c r="BL179" t="s">
        <v>186</v>
      </c>
      <c r="BM179" t="s">
        <v>3042</v>
      </c>
      <c r="BN179" t="s">
        <v>74</v>
      </c>
      <c r="BO179" t="s">
        <v>286</v>
      </c>
      <c r="BP179" t="s">
        <v>74</v>
      </c>
      <c r="BQ179" t="s">
        <v>74</v>
      </c>
      <c r="BR179" t="s">
        <v>99</v>
      </c>
      <c r="BS179" t="s">
        <v>3043</v>
      </c>
      <c r="BT179" t="str">
        <f>HYPERLINK("https%3A%2F%2Fwww.webofscience.com%2Fwos%2Fwoscc%2Ffull-record%2FWOS:000188843200003","View Full Record in Web of Science")</f>
        <v>View Full Record in Web of Science</v>
      </c>
    </row>
    <row r="180" spans="1:72" x14ac:dyDescent="0.15">
      <c r="A180" t="s">
        <v>72</v>
      </c>
      <c r="B180" t="s">
        <v>3044</v>
      </c>
      <c r="C180" t="s">
        <v>74</v>
      </c>
      <c r="D180" t="s">
        <v>74</v>
      </c>
      <c r="E180" t="s">
        <v>74</v>
      </c>
      <c r="F180" t="s">
        <v>3044</v>
      </c>
      <c r="G180" t="s">
        <v>74</v>
      </c>
      <c r="H180" t="s">
        <v>74</v>
      </c>
      <c r="I180" t="s">
        <v>3045</v>
      </c>
      <c r="J180" t="s">
        <v>1558</v>
      </c>
      <c r="K180" t="s">
        <v>74</v>
      </c>
      <c r="L180" t="s">
        <v>74</v>
      </c>
      <c r="M180" t="s">
        <v>77</v>
      </c>
      <c r="N180" t="s">
        <v>78</v>
      </c>
      <c r="O180" t="s">
        <v>74</v>
      </c>
      <c r="P180" t="s">
        <v>74</v>
      </c>
      <c r="Q180" t="s">
        <v>74</v>
      </c>
      <c r="R180" t="s">
        <v>74</v>
      </c>
      <c r="S180" t="s">
        <v>74</v>
      </c>
      <c r="T180" t="s">
        <v>74</v>
      </c>
      <c r="U180" t="s">
        <v>3046</v>
      </c>
      <c r="V180" t="s">
        <v>3047</v>
      </c>
      <c r="W180" t="s">
        <v>3036</v>
      </c>
      <c r="X180" t="s">
        <v>3037</v>
      </c>
      <c r="Y180" t="s">
        <v>3038</v>
      </c>
      <c r="Z180" t="s">
        <v>3039</v>
      </c>
      <c r="AA180" t="s">
        <v>3040</v>
      </c>
      <c r="AB180" t="s">
        <v>74</v>
      </c>
      <c r="AC180" t="s">
        <v>74</v>
      </c>
      <c r="AD180" t="s">
        <v>74</v>
      </c>
      <c r="AE180" t="s">
        <v>74</v>
      </c>
      <c r="AF180" t="s">
        <v>74</v>
      </c>
      <c r="AG180">
        <v>43</v>
      </c>
      <c r="AH180">
        <v>22</v>
      </c>
      <c r="AI180">
        <v>26</v>
      </c>
      <c r="AJ180">
        <v>2</v>
      </c>
      <c r="AK180">
        <v>15</v>
      </c>
      <c r="AL180" t="s">
        <v>297</v>
      </c>
      <c r="AM180" t="s">
        <v>298</v>
      </c>
      <c r="AN180" t="s">
        <v>299</v>
      </c>
      <c r="AO180" t="s">
        <v>1568</v>
      </c>
      <c r="AP180" t="s">
        <v>1569</v>
      </c>
      <c r="AQ180" t="s">
        <v>74</v>
      </c>
      <c r="AR180" t="s">
        <v>1570</v>
      </c>
      <c r="AS180" t="s">
        <v>1571</v>
      </c>
      <c r="AT180" t="s">
        <v>2589</v>
      </c>
      <c r="AU180">
        <v>2004</v>
      </c>
      <c r="AV180">
        <v>17</v>
      </c>
      <c r="AW180">
        <v>3</v>
      </c>
      <c r="AX180" t="s">
        <v>74</v>
      </c>
      <c r="AY180" t="s">
        <v>74</v>
      </c>
      <c r="AZ180" t="s">
        <v>74</v>
      </c>
      <c r="BA180" t="s">
        <v>74</v>
      </c>
      <c r="BB180">
        <v>448</v>
      </c>
      <c r="BC180">
        <v>465</v>
      </c>
      <c r="BD180" t="s">
        <v>74</v>
      </c>
      <c r="BE180" t="s">
        <v>3048</v>
      </c>
      <c r="BF180" t="str">
        <f>HYPERLINK("http://dx.doi.org/10.1175/1520-0442(2004)017&lt;0448:MAPPIE&gt;2.0.CO;2","http://dx.doi.org/10.1175/1520-0442(2004)017&lt;0448:MAPPIE&gt;2.0.CO;2")</f>
        <v>http://dx.doi.org/10.1175/1520-0442(2004)017&lt;0448:MAPPIE&gt;2.0.CO;2</v>
      </c>
      <c r="BG180" t="s">
        <v>74</v>
      </c>
      <c r="BH180" t="s">
        <v>74</v>
      </c>
      <c r="BI180">
        <v>18</v>
      </c>
      <c r="BJ180" t="s">
        <v>186</v>
      </c>
      <c r="BK180" t="s">
        <v>96</v>
      </c>
      <c r="BL180" t="s">
        <v>186</v>
      </c>
      <c r="BM180" t="s">
        <v>3042</v>
      </c>
      <c r="BN180" t="s">
        <v>74</v>
      </c>
      <c r="BO180" t="s">
        <v>286</v>
      </c>
      <c r="BP180" t="s">
        <v>74</v>
      </c>
      <c r="BQ180" t="s">
        <v>74</v>
      </c>
      <c r="BR180" t="s">
        <v>99</v>
      </c>
      <c r="BS180" t="s">
        <v>3049</v>
      </c>
      <c r="BT180" t="str">
        <f>HYPERLINK("https%3A%2F%2Fwww.webofscience.com%2Fwos%2Fwoscc%2Ffull-record%2FWOS:000188843200004","View Full Record in Web of Science")</f>
        <v>View Full Record in Web of Science</v>
      </c>
    </row>
    <row r="181" spans="1:72" x14ac:dyDescent="0.15">
      <c r="A181" t="s">
        <v>72</v>
      </c>
      <c r="B181" t="s">
        <v>3050</v>
      </c>
      <c r="C181" t="s">
        <v>74</v>
      </c>
      <c r="D181" t="s">
        <v>74</v>
      </c>
      <c r="E181" t="s">
        <v>74</v>
      </c>
      <c r="F181" t="s">
        <v>3050</v>
      </c>
      <c r="G181" t="s">
        <v>74</v>
      </c>
      <c r="H181" t="s">
        <v>74</v>
      </c>
      <c r="I181" t="s">
        <v>3051</v>
      </c>
      <c r="J181" t="s">
        <v>3052</v>
      </c>
      <c r="K181" t="s">
        <v>74</v>
      </c>
      <c r="L181" t="s">
        <v>74</v>
      </c>
      <c r="M181" t="s">
        <v>77</v>
      </c>
      <c r="N181" t="s">
        <v>78</v>
      </c>
      <c r="O181" t="s">
        <v>74</v>
      </c>
      <c r="P181" t="s">
        <v>74</v>
      </c>
      <c r="Q181" t="s">
        <v>74</v>
      </c>
      <c r="R181" t="s">
        <v>74</v>
      </c>
      <c r="S181" t="s">
        <v>74</v>
      </c>
      <c r="T181" t="s">
        <v>74</v>
      </c>
      <c r="U181" t="s">
        <v>3053</v>
      </c>
      <c r="V181" t="s">
        <v>3054</v>
      </c>
      <c r="W181" t="s">
        <v>3055</v>
      </c>
      <c r="X181" t="s">
        <v>3056</v>
      </c>
      <c r="Y181" t="s">
        <v>3057</v>
      </c>
      <c r="Z181" t="s">
        <v>3058</v>
      </c>
      <c r="AA181" t="s">
        <v>74</v>
      </c>
      <c r="AB181" t="s">
        <v>74</v>
      </c>
      <c r="AC181" t="s">
        <v>74</v>
      </c>
      <c r="AD181" t="s">
        <v>74</v>
      </c>
      <c r="AE181" t="s">
        <v>74</v>
      </c>
      <c r="AF181" t="s">
        <v>74</v>
      </c>
      <c r="AG181">
        <v>25</v>
      </c>
      <c r="AH181">
        <v>8</v>
      </c>
      <c r="AI181">
        <v>9</v>
      </c>
      <c r="AJ181">
        <v>0</v>
      </c>
      <c r="AK181">
        <v>3</v>
      </c>
      <c r="AL181" t="s">
        <v>277</v>
      </c>
      <c r="AM181" t="s">
        <v>214</v>
      </c>
      <c r="AN181" t="s">
        <v>278</v>
      </c>
      <c r="AO181" t="s">
        <v>3059</v>
      </c>
      <c r="AP181" t="s">
        <v>3060</v>
      </c>
      <c r="AQ181" t="s">
        <v>74</v>
      </c>
      <c r="AR181" t="s">
        <v>3061</v>
      </c>
      <c r="AS181" t="s">
        <v>3062</v>
      </c>
      <c r="AT181" t="s">
        <v>2589</v>
      </c>
      <c r="AU181">
        <v>2004</v>
      </c>
      <c r="AV181">
        <v>24</v>
      </c>
      <c r="AW181">
        <v>1</v>
      </c>
      <c r="AX181" t="s">
        <v>74</v>
      </c>
      <c r="AY181" t="s">
        <v>74</v>
      </c>
      <c r="AZ181" t="s">
        <v>74</v>
      </c>
      <c r="BA181" t="s">
        <v>74</v>
      </c>
      <c r="BB181">
        <v>81</v>
      </c>
      <c r="BC181">
        <v>83</v>
      </c>
      <c r="BD181" t="s">
        <v>74</v>
      </c>
      <c r="BE181" t="s">
        <v>3063</v>
      </c>
      <c r="BF181" t="str">
        <f>HYPERLINK("http://dx.doi.org/10.1651/C-2390","http://dx.doi.org/10.1651/C-2390")</f>
        <v>http://dx.doi.org/10.1651/C-2390</v>
      </c>
      <c r="BG181" t="s">
        <v>74</v>
      </c>
      <c r="BH181" t="s">
        <v>74</v>
      </c>
      <c r="BI181">
        <v>3</v>
      </c>
      <c r="BJ181" t="s">
        <v>414</v>
      </c>
      <c r="BK181" t="s">
        <v>96</v>
      </c>
      <c r="BL181" t="s">
        <v>414</v>
      </c>
      <c r="BM181" t="s">
        <v>3064</v>
      </c>
      <c r="BN181" t="s">
        <v>74</v>
      </c>
      <c r="BO181" t="s">
        <v>541</v>
      </c>
      <c r="BP181" t="s">
        <v>74</v>
      </c>
      <c r="BQ181" t="s">
        <v>74</v>
      </c>
      <c r="BR181" t="s">
        <v>99</v>
      </c>
      <c r="BS181" t="s">
        <v>3065</v>
      </c>
      <c r="BT181" t="str">
        <f>HYPERLINK("https%3A%2F%2Fwww.webofscience.com%2Fwos%2Fwoscc%2Ffull-record%2FWOS:000189006300007","View Full Record in Web of Science")</f>
        <v>View Full Record in Web of Science</v>
      </c>
    </row>
    <row r="182" spans="1:72" x14ac:dyDescent="0.15">
      <c r="A182" t="s">
        <v>72</v>
      </c>
      <c r="B182" t="s">
        <v>3066</v>
      </c>
      <c r="C182" t="s">
        <v>74</v>
      </c>
      <c r="D182" t="s">
        <v>74</v>
      </c>
      <c r="E182" t="s">
        <v>74</v>
      </c>
      <c r="F182" t="s">
        <v>3066</v>
      </c>
      <c r="G182" t="s">
        <v>74</v>
      </c>
      <c r="H182" t="s">
        <v>74</v>
      </c>
      <c r="I182" t="s">
        <v>3067</v>
      </c>
      <c r="J182" t="s">
        <v>1650</v>
      </c>
      <c r="K182" t="s">
        <v>74</v>
      </c>
      <c r="L182" t="s">
        <v>74</v>
      </c>
      <c r="M182" t="s">
        <v>77</v>
      </c>
      <c r="N182" t="s">
        <v>78</v>
      </c>
      <c r="O182" t="s">
        <v>74</v>
      </c>
      <c r="P182" t="s">
        <v>74</v>
      </c>
      <c r="Q182" t="s">
        <v>74</v>
      </c>
      <c r="R182" t="s">
        <v>74</v>
      </c>
      <c r="S182" t="s">
        <v>74</v>
      </c>
      <c r="T182" t="s">
        <v>3068</v>
      </c>
      <c r="U182" t="s">
        <v>3069</v>
      </c>
      <c r="V182" t="s">
        <v>3070</v>
      </c>
      <c r="W182" t="s">
        <v>3071</v>
      </c>
      <c r="X182" t="s">
        <v>3072</v>
      </c>
      <c r="Y182" t="s">
        <v>3073</v>
      </c>
      <c r="Z182" t="s">
        <v>3074</v>
      </c>
      <c r="AA182" t="s">
        <v>74</v>
      </c>
      <c r="AB182" t="s">
        <v>74</v>
      </c>
      <c r="AC182" t="s">
        <v>74</v>
      </c>
      <c r="AD182" t="s">
        <v>74</v>
      </c>
      <c r="AE182" t="s">
        <v>74</v>
      </c>
      <c r="AF182" t="s">
        <v>74</v>
      </c>
      <c r="AG182">
        <v>25</v>
      </c>
      <c r="AH182">
        <v>21</v>
      </c>
      <c r="AI182">
        <v>22</v>
      </c>
      <c r="AJ182">
        <v>0</v>
      </c>
      <c r="AK182">
        <v>7</v>
      </c>
      <c r="AL182" t="s">
        <v>1660</v>
      </c>
      <c r="AM182" t="s">
        <v>824</v>
      </c>
      <c r="AN182" t="s">
        <v>1661</v>
      </c>
      <c r="AO182" t="s">
        <v>1662</v>
      </c>
      <c r="AP182" t="s">
        <v>1663</v>
      </c>
      <c r="AQ182" t="s">
        <v>74</v>
      </c>
      <c r="AR182" t="s">
        <v>1664</v>
      </c>
      <c r="AS182" t="s">
        <v>1665</v>
      </c>
      <c r="AT182" t="s">
        <v>2589</v>
      </c>
      <c r="AU182">
        <v>2004</v>
      </c>
      <c r="AV182">
        <v>207</v>
      </c>
      <c r="AW182">
        <v>6</v>
      </c>
      <c r="AX182" t="s">
        <v>74</v>
      </c>
      <c r="AY182" t="s">
        <v>74</v>
      </c>
      <c r="AZ182" t="s">
        <v>74</v>
      </c>
      <c r="BA182" t="s">
        <v>74</v>
      </c>
      <c r="BB182">
        <v>897</v>
      </c>
      <c r="BC182">
        <v>903</v>
      </c>
      <c r="BD182" t="s">
        <v>74</v>
      </c>
      <c r="BE182" t="s">
        <v>3075</v>
      </c>
      <c r="BF182" t="str">
        <f>HYPERLINK("http://dx.doi.org/10.1242/jeb.00823","http://dx.doi.org/10.1242/jeb.00823")</f>
        <v>http://dx.doi.org/10.1242/jeb.00823</v>
      </c>
      <c r="BG182" t="s">
        <v>74</v>
      </c>
      <c r="BH182" t="s">
        <v>74</v>
      </c>
      <c r="BI182">
        <v>7</v>
      </c>
      <c r="BJ182" t="s">
        <v>1667</v>
      </c>
      <c r="BK182" t="s">
        <v>96</v>
      </c>
      <c r="BL182" t="s">
        <v>1668</v>
      </c>
      <c r="BM182" t="s">
        <v>3076</v>
      </c>
      <c r="BN182">
        <v>14766948</v>
      </c>
      <c r="BO182" t="s">
        <v>74</v>
      </c>
      <c r="BP182" t="s">
        <v>74</v>
      </c>
      <c r="BQ182" t="s">
        <v>74</v>
      </c>
      <c r="BR182" t="s">
        <v>99</v>
      </c>
      <c r="BS182" t="s">
        <v>3077</v>
      </c>
      <c r="BT182" t="str">
        <f>HYPERLINK("https%3A%2F%2Fwww.webofscience.com%2Fwos%2Fwoscc%2Ffull-record%2FWOS:000220336500006","View Full Record in Web of Science")</f>
        <v>View Full Record in Web of Science</v>
      </c>
    </row>
    <row r="183" spans="1:72" x14ac:dyDescent="0.15">
      <c r="A183" t="s">
        <v>72</v>
      </c>
      <c r="B183" t="s">
        <v>3078</v>
      </c>
      <c r="C183" t="s">
        <v>74</v>
      </c>
      <c r="D183" t="s">
        <v>74</v>
      </c>
      <c r="E183" t="s">
        <v>74</v>
      </c>
      <c r="F183" t="s">
        <v>3078</v>
      </c>
      <c r="G183" t="s">
        <v>74</v>
      </c>
      <c r="H183" t="s">
        <v>74</v>
      </c>
      <c r="I183" t="s">
        <v>3079</v>
      </c>
      <c r="J183" t="s">
        <v>3080</v>
      </c>
      <c r="K183" t="s">
        <v>74</v>
      </c>
      <c r="L183" t="s">
        <v>74</v>
      </c>
      <c r="M183" t="s">
        <v>77</v>
      </c>
      <c r="N183" t="s">
        <v>78</v>
      </c>
      <c r="O183" t="s">
        <v>74</v>
      </c>
      <c r="P183" t="s">
        <v>74</v>
      </c>
      <c r="Q183" t="s">
        <v>74</v>
      </c>
      <c r="R183" t="s">
        <v>74</v>
      </c>
      <c r="S183" t="s">
        <v>74</v>
      </c>
      <c r="T183" t="s">
        <v>3081</v>
      </c>
      <c r="U183" t="s">
        <v>3082</v>
      </c>
      <c r="V183" t="s">
        <v>3083</v>
      </c>
      <c r="W183" t="s">
        <v>3084</v>
      </c>
      <c r="X183" t="s">
        <v>3085</v>
      </c>
      <c r="Y183" t="s">
        <v>3086</v>
      </c>
      <c r="Z183" t="s">
        <v>3087</v>
      </c>
      <c r="AA183" t="s">
        <v>74</v>
      </c>
      <c r="AB183" t="s">
        <v>3088</v>
      </c>
      <c r="AC183" t="s">
        <v>74</v>
      </c>
      <c r="AD183" t="s">
        <v>74</v>
      </c>
      <c r="AE183" t="s">
        <v>74</v>
      </c>
      <c r="AF183" t="s">
        <v>74</v>
      </c>
      <c r="AG183">
        <v>34</v>
      </c>
      <c r="AH183">
        <v>33</v>
      </c>
      <c r="AI183">
        <v>35</v>
      </c>
      <c r="AJ183">
        <v>2</v>
      </c>
      <c r="AK183">
        <v>15</v>
      </c>
      <c r="AL183" t="s">
        <v>213</v>
      </c>
      <c r="AM183" t="s">
        <v>214</v>
      </c>
      <c r="AN183" t="s">
        <v>215</v>
      </c>
      <c r="AO183" t="s">
        <v>3089</v>
      </c>
      <c r="AP183" t="s">
        <v>3090</v>
      </c>
      <c r="AQ183" t="s">
        <v>74</v>
      </c>
      <c r="AR183" t="s">
        <v>3091</v>
      </c>
      <c r="AS183" t="s">
        <v>3092</v>
      </c>
      <c r="AT183" t="s">
        <v>3093</v>
      </c>
      <c r="AU183">
        <v>2004</v>
      </c>
      <c r="AV183">
        <v>50</v>
      </c>
      <c r="AW183" t="s">
        <v>3094</v>
      </c>
      <c r="AX183" t="s">
        <v>74</v>
      </c>
      <c r="AY183" t="s">
        <v>74</v>
      </c>
      <c r="AZ183" t="s">
        <v>74</v>
      </c>
      <c r="BA183" t="s">
        <v>74</v>
      </c>
      <c r="BB183">
        <v>225</v>
      </c>
      <c r="BC183">
        <v>232</v>
      </c>
      <c r="BD183" t="s">
        <v>74</v>
      </c>
      <c r="BE183" t="s">
        <v>3095</v>
      </c>
      <c r="BF183" t="str">
        <f>HYPERLINK("http://dx.doi.org/10.1016/j.jinsphys.2003.12.001","http://dx.doi.org/10.1016/j.jinsphys.2003.12.001")</f>
        <v>http://dx.doi.org/10.1016/j.jinsphys.2003.12.001</v>
      </c>
      <c r="BG183" t="s">
        <v>74</v>
      </c>
      <c r="BH183" t="s">
        <v>74</v>
      </c>
      <c r="BI183">
        <v>8</v>
      </c>
      <c r="BJ183" t="s">
        <v>3096</v>
      </c>
      <c r="BK183" t="s">
        <v>96</v>
      </c>
      <c r="BL183" t="s">
        <v>3096</v>
      </c>
      <c r="BM183" t="s">
        <v>3097</v>
      </c>
      <c r="BN183">
        <v>15019525</v>
      </c>
      <c r="BO183" t="s">
        <v>74</v>
      </c>
      <c r="BP183" t="s">
        <v>74</v>
      </c>
      <c r="BQ183" t="s">
        <v>74</v>
      </c>
      <c r="BR183" t="s">
        <v>99</v>
      </c>
      <c r="BS183" t="s">
        <v>3098</v>
      </c>
      <c r="BT183" t="str">
        <f>HYPERLINK("https%3A%2F%2Fwww.webofscience.com%2Fwos%2Fwoscc%2Ffull-record%2FWOS:000220385000014","View Full Record in Web of Science")</f>
        <v>View Full Record in Web of Science</v>
      </c>
    </row>
    <row r="184" spans="1:72" x14ac:dyDescent="0.15">
      <c r="A184" t="s">
        <v>72</v>
      </c>
      <c r="B184" t="s">
        <v>3099</v>
      </c>
      <c r="C184" t="s">
        <v>74</v>
      </c>
      <c r="D184" t="s">
        <v>74</v>
      </c>
      <c r="E184" t="s">
        <v>74</v>
      </c>
      <c r="F184" t="s">
        <v>3099</v>
      </c>
      <c r="G184" t="s">
        <v>74</v>
      </c>
      <c r="H184" t="s">
        <v>74</v>
      </c>
      <c r="I184" t="s">
        <v>3100</v>
      </c>
      <c r="J184" t="s">
        <v>3101</v>
      </c>
      <c r="K184" t="s">
        <v>74</v>
      </c>
      <c r="L184" t="s">
        <v>74</v>
      </c>
      <c r="M184" t="s">
        <v>77</v>
      </c>
      <c r="N184" t="s">
        <v>78</v>
      </c>
      <c r="O184" t="s">
        <v>74</v>
      </c>
      <c r="P184" t="s">
        <v>74</v>
      </c>
      <c r="Q184" t="s">
        <v>74</v>
      </c>
      <c r="R184" t="s">
        <v>74</v>
      </c>
      <c r="S184" t="s">
        <v>74</v>
      </c>
      <c r="T184" t="s">
        <v>3102</v>
      </c>
      <c r="U184" t="s">
        <v>3103</v>
      </c>
      <c r="V184" t="s">
        <v>3104</v>
      </c>
      <c r="W184" t="s">
        <v>3105</v>
      </c>
      <c r="X184" t="s">
        <v>3106</v>
      </c>
      <c r="Y184" t="s">
        <v>3107</v>
      </c>
      <c r="Z184" t="s">
        <v>3108</v>
      </c>
      <c r="AA184" t="s">
        <v>3109</v>
      </c>
      <c r="AB184" t="s">
        <v>74</v>
      </c>
      <c r="AC184" t="s">
        <v>74</v>
      </c>
      <c r="AD184" t="s">
        <v>74</v>
      </c>
      <c r="AE184" t="s">
        <v>74</v>
      </c>
      <c r="AF184" t="s">
        <v>74</v>
      </c>
      <c r="AG184">
        <v>13</v>
      </c>
      <c r="AH184">
        <v>29</v>
      </c>
      <c r="AI184">
        <v>38</v>
      </c>
      <c r="AJ184">
        <v>1</v>
      </c>
      <c r="AK184">
        <v>14</v>
      </c>
      <c r="AL184" t="s">
        <v>528</v>
      </c>
      <c r="AM184" t="s">
        <v>529</v>
      </c>
      <c r="AN184" t="s">
        <v>530</v>
      </c>
      <c r="AO184" t="s">
        <v>3110</v>
      </c>
      <c r="AP184" t="s">
        <v>3111</v>
      </c>
      <c r="AQ184" t="s">
        <v>74</v>
      </c>
      <c r="AR184" t="s">
        <v>3112</v>
      </c>
      <c r="AS184" t="s">
        <v>3113</v>
      </c>
      <c r="AT184" t="s">
        <v>2589</v>
      </c>
      <c r="AU184">
        <v>2004</v>
      </c>
      <c r="AV184">
        <v>56</v>
      </c>
      <c r="AW184">
        <v>2</v>
      </c>
      <c r="AX184" t="s">
        <v>74</v>
      </c>
      <c r="AY184" t="s">
        <v>74</v>
      </c>
      <c r="AZ184" t="s">
        <v>74</v>
      </c>
      <c r="BA184" t="s">
        <v>74</v>
      </c>
      <c r="BB184">
        <v>143</v>
      </c>
      <c r="BC184">
        <v>149</v>
      </c>
      <c r="BD184" t="s">
        <v>74</v>
      </c>
      <c r="BE184" t="s">
        <v>3114</v>
      </c>
      <c r="BF184" t="str">
        <f>HYPERLINK("http://dx.doi.org/10.1016/j.mimet.2003.10.003","http://dx.doi.org/10.1016/j.mimet.2003.10.003")</f>
        <v>http://dx.doi.org/10.1016/j.mimet.2003.10.003</v>
      </c>
      <c r="BG184" t="s">
        <v>74</v>
      </c>
      <c r="BH184" t="s">
        <v>74</v>
      </c>
      <c r="BI184">
        <v>7</v>
      </c>
      <c r="BJ184" t="s">
        <v>3115</v>
      </c>
      <c r="BK184" t="s">
        <v>96</v>
      </c>
      <c r="BL184" t="s">
        <v>3116</v>
      </c>
      <c r="BM184" t="s">
        <v>3117</v>
      </c>
      <c r="BN184">
        <v>14744443</v>
      </c>
      <c r="BO184" t="s">
        <v>74</v>
      </c>
      <c r="BP184" t="s">
        <v>74</v>
      </c>
      <c r="BQ184" t="s">
        <v>74</v>
      </c>
      <c r="BR184" t="s">
        <v>99</v>
      </c>
      <c r="BS184" t="s">
        <v>3118</v>
      </c>
      <c r="BT184" t="str">
        <f>HYPERLINK("https%3A%2F%2Fwww.webofscience.com%2Fwos%2Fwoscc%2Ffull-record%2FWOS:000189084000001","View Full Record in Web of Science")</f>
        <v>View Full Record in Web of Science</v>
      </c>
    </row>
    <row r="185" spans="1:72" x14ac:dyDescent="0.15">
      <c r="A185" t="s">
        <v>72</v>
      </c>
      <c r="B185" t="s">
        <v>3119</v>
      </c>
      <c r="C185" t="s">
        <v>74</v>
      </c>
      <c r="D185" t="s">
        <v>74</v>
      </c>
      <c r="E185" t="s">
        <v>74</v>
      </c>
      <c r="F185" t="s">
        <v>3119</v>
      </c>
      <c r="G185" t="s">
        <v>74</v>
      </c>
      <c r="H185" t="s">
        <v>74</v>
      </c>
      <c r="I185" t="s">
        <v>3120</v>
      </c>
      <c r="J185" t="s">
        <v>3121</v>
      </c>
      <c r="K185" t="s">
        <v>74</v>
      </c>
      <c r="L185" t="s">
        <v>74</v>
      </c>
      <c r="M185" t="s">
        <v>77</v>
      </c>
      <c r="N185" t="s">
        <v>78</v>
      </c>
      <c r="O185" t="s">
        <v>74</v>
      </c>
      <c r="P185" t="s">
        <v>74</v>
      </c>
      <c r="Q185" t="s">
        <v>74</v>
      </c>
      <c r="R185" t="s">
        <v>74</v>
      </c>
      <c r="S185" t="s">
        <v>74</v>
      </c>
      <c r="T185" t="s">
        <v>74</v>
      </c>
      <c r="U185" t="s">
        <v>3122</v>
      </c>
      <c r="V185" t="s">
        <v>3123</v>
      </c>
      <c r="W185" t="s">
        <v>3124</v>
      </c>
      <c r="X185" t="s">
        <v>3125</v>
      </c>
      <c r="Y185" t="s">
        <v>3126</v>
      </c>
      <c r="Z185" t="s">
        <v>3127</v>
      </c>
      <c r="AA185" t="s">
        <v>74</v>
      </c>
      <c r="AB185" t="s">
        <v>3128</v>
      </c>
      <c r="AC185" t="s">
        <v>74</v>
      </c>
      <c r="AD185" t="s">
        <v>74</v>
      </c>
      <c r="AE185" t="s">
        <v>74</v>
      </c>
      <c r="AF185" t="s">
        <v>74</v>
      </c>
      <c r="AG185">
        <v>63</v>
      </c>
      <c r="AH185">
        <v>55</v>
      </c>
      <c r="AI185">
        <v>62</v>
      </c>
      <c r="AJ185">
        <v>0</v>
      </c>
      <c r="AK185">
        <v>21</v>
      </c>
      <c r="AL185" t="s">
        <v>277</v>
      </c>
      <c r="AM185" t="s">
        <v>214</v>
      </c>
      <c r="AN185" t="s">
        <v>278</v>
      </c>
      <c r="AO185" t="s">
        <v>3129</v>
      </c>
      <c r="AP185" t="s">
        <v>3130</v>
      </c>
      <c r="AQ185" t="s">
        <v>74</v>
      </c>
      <c r="AR185" t="s">
        <v>3131</v>
      </c>
      <c r="AS185" t="s">
        <v>3132</v>
      </c>
      <c r="AT185" t="s">
        <v>2589</v>
      </c>
      <c r="AU185">
        <v>2004</v>
      </c>
      <c r="AV185">
        <v>70</v>
      </c>
      <c r="AW185" t="s">
        <v>74</v>
      </c>
      <c r="AX185">
        <v>1</v>
      </c>
      <c r="AY185" t="s">
        <v>74</v>
      </c>
      <c r="AZ185" t="s">
        <v>74</v>
      </c>
      <c r="BA185" t="s">
        <v>74</v>
      </c>
      <c r="BB185">
        <v>31</v>
      </c>
      <c r="BC185">
        <v>41</v>
      </c>
      <c r="BD185" t="s">
        <v>74</v>
      </c>
      <c r="BE185" t="s">
        <v>3133</v>
      </c>
      <c r="BF185" t="str">
        <f>HYPERLINK("http://dx.doi.org/10.1093/mollus/70.1.31","http://dx.doi.org/10.1093/mollus/70.1.31")</f>
        <v>http://dx.doi.org/10.1093/mollus/70.1.31</v>
      </c>
      <c r="BG185" t="s">
        <v>74</v>
      </c>
      <c r="BH185" t="s">
        <v>74</v>
      </c>
      <c r="BI185">
        <v>11</v>
      </c>
      <c r="BJ185" t="s">
        <v>414</v>
      </c>
      <c r="BK185" t="s">
        <v>96</v>
      </c>
      <c r="BL185" t="s">
        <v>414</v>
      </c>
      <c r="BM185" t="s">
        <v>3134</v>
      </c>
      <c r="BN185" t="s">
        <v>74</v>
      </c>
      <c r="BO185" t="s">
        <v>541</v>
      </c>
      <c r="BP185" t="s">
        <v>74</v>
      </c>
      <c r="BQ185" t="s">
        <v>74</v>
      </c>
      <c r="BR185" t="s">
        <v>99</v>
      </c>
      <c r="BS185" t="s">
        <v>3135</v>
      </c>
      <c r="BT185" t="str">
        <f>HYPERLINK("https%3A%2F%2Fwww.webofscience.com%2Fwos%2Fwoscc%2Ffull-record%2FWOS:000189157100003","View Full Record in Web of Science")</f>
        <v>View Full Record in Web of Science</v>
      </c>
    </row>
    <row r="186" spans="1:72" x14ac:dyDescent="0.15">
      <c r="A186" t="s">
        <v>72</v>
      </c>
      <c r="B186" t="s">
        <v>3136</v>
      </c>
      <c r="C186" t="s">
        <v>74</v>
      </c>
      <c r="D186" t="s">
        <v>74</v>
      </c>
      <c r="E186" t="s">
        <v>74</v>
      </c>
      <c r="F186" t="s">
        <v>3136</v>
      </c>
      <c r="G186" t="s">
        <v>74</v>
      </c>
      <c r="H186" t="s">
        <v>74</v>
      </c>
      <c r="I186" t="s">
        <v>3137</v>
      </c>
      <c r="J186" t="s">
        <v>3138</v>
      </c>
      <c r="K186" t="s">
        <v>74</v>
      </c>
      <c r="L186" t="s">
        <v>74</v>
      </c>
      <c r="M186" t="s">
        <v>77</v>
      </c>
      <c r="N186" t="s">
        <v>78</v>
      </c>
      <c r="O186" t="s">
        <v>74</v>
      </c>
      <c r="P186" t="s">
        <v>74</v>
      </c>
      <c r="Q186" t="s">
        <v>74</v>
      </c>
      <c r="R186" t="s">
        <v>74</v>
      </c>
      <c r="S186" t="s">
        <v>74</v>
      </c>
      <c r="T186" t="s">
        <v>3139</v>
      </c>
      <c r="U186" t="s">
        <v>3140</v>
      </c>
      <c r="V186" t="s">
        <v>3141</v>
      </c>
      <c r="W186" t="s">
        <v>3142</v>
      </c>
      <c r="X186" t="s">
        <v>132</v>
      </c>
      <c r="Y186" t="s">
        <v>3143</v>
      </c>
      <c r="Z186" t="s">
        <v>3144</v>
      </c>
      <c r="AA186" t="s">
        <v>3145</v>
      </c>
      <c r="AB186" t="s">
        <v>74</v>
      </c>
      <c r="AC186" t="s">
        <v>74</v>
      </c>
      <c r="AD186" t="s">
        <v>74</v>
      </c>
      <c r="AE186" t="s">
        <v>74</v>
      </c>
      <c r="AF186" t="s">
        <v>74</v>
      </c>
      <c r="AG186">
        <v>45</v>
      </c>
      <c r="AH186">
        <v>31</v>
      </c>
      <c r="AI186">
        <v>31</v>
      </c>
      <c r="AJ186">
        <v>0</v>
      </c>
      <c r="AK186">
        <v>8</v>
      </c>
      <c r="AL186" t="s">
        <v>198</v>
      </c>
      <c r="AM186" t="s">
        <v>178</v>
      </c>
      <c r="AN186" t="s">
        <v>179</v>
      </c>
      <c r="AO186" t="s">
        <v>3146</v>
      </c>
      <c r="AP186" t="s">
        <v>3147</v>
      </c>
      <c r="AQ186" t="s">
        <v>74</v>
      </c>
      <c r="AR186" t="s">
        <v>3148</v>
      </c>
      <c r="AS186" t="s">
        <v>3149</v>
      </c>
      <c r="AT186" t="s">
        <v>2589</v>
      </c>
      <c r="AU186">
        <v>2004</v>
      </c>
      <c r="AV186">
        <v>40</v>
      </c>
      <c r="AW186">
        <v>1</v>
      </c>
      <c r="AX186" t="s">
        <v>74</v>
      </c>
      <c r="AY186" t="s">
        <v>74</v>
      </c>
      <c r="AZ186" t="s">
        <v>74</v>
      </c>
      <c r="BA186" t="s">
        <v>74</v>
      </c>
      <c r="BB186">
        <v>62</v>
      </c>
      <c r="BC186">
        <v>69</v>
      </c>
      <c r="BD186" t="s">
        <v>74</v>
      </c>
      <c r="BE186" t="s">
        <v>3150</v>
      </c>
      <c r="BF186" t="str">
        <f>HYPERLINK("http://dx.doi.org/10.1046/j.1529-8817.2004.02127.x","http://dx.doi.org/10.1046/j.1529-8817.2004.02127.x")</f>
        <v>http://dx.doi.org/10.1046/j.1529-8817.2004.02127.x</v>
      </c>
      <c r="BG186" t="s">
        <v>74</v>
      </c>
      <c r="BH186" t="s">
        <v>74</v>
      </c>
      <c r="BI186">
        <v>8</v>
      </c>
      <c r="BJ186" t="s">
        <v>3151</v>
      </c>
      <c r="BK186" t="s">
        <v>96</v>
      </c>
      <c r="BL186" t="s">
        <v>3151</v>
      </c>
      <c r="BM186" t="s">
        <v>3152</v>
      </c>
      <c r="BN186" t="s">
        <v>74</v>
      </c>
      <c r="BO186" t="s">
        <v>74</v>
      </c>
      <c r="BP186" t="s">
        <v>74</v>
      </c>
      <c r="BQ186" t="s">
        <v>74</v>
      </c>
      <c r="BR186" t="s">
        <v>99</v>
      </c>
      <c r="BS186" t="s">
        <v>3153</v>
      </c>
      <c r="BT186" t="str">
        <f>HYPERLINK("https%3A%2F%2Fwww.webofscience.com%2Fwos%2Fwoscc%2Ffull-record%2FWOS:000188864700007","View Full Record in Web of Science")</f>
        <v>View Full Record in Web of Science</v>
      </c>
    </row>
    <row r="187" spans="1:72" x14ac:dyDescent="0.15">
      <c r="A187" t="s">
        <v>72</v>
      </c>
      <c r="B187" t="s">
        <v>3154</v>
      </c>
      <c r="C187" t="s">
        <v>74</v>
      </c>
      <c r="D187" t="s">
        <v>74</v>
      </c>
      <c r="E187" t="s">
        <v>74</v>
      </c>
      <c r="F187" t="s">
        <v>3154</v>
      </c>
      <c r="G187" t="s">
        <v>74</v>
      </c>
      <c r="H187" t="s">
        <v>74</v>
      </c>
      <c r="I187" t="s">
        <v>3155</v>
      </c>
      <c r="J187" t="s">
        <v>1693</v>
      </c>
      <c r="K187" t="s">
        <v>74</v>
      </c>
      <c r="L187" t="s">
        <v>74</v>
      </c>
      <c r="M187" t="s">
        <v>77</v>
      </c>
      <c r="N187" t="s">
        <v>78</v>
      </c>
      <c r="O187" t="s">
        <v>74</v>
      </c>
      <c r="P187" t="s">
        <v>74</v>
      </c>
      <c r="Q187" t="s">
        <v>74</v>
      </c>
      <c r="R187" t="s">
        <v>74</v>
      </c>
      <c r="S187" t="s">
        <v>74</v>
      </c>
      <c r="T187" t="s">
        <v>74</v>
      </c>
      <c r="U187" t="s">
        <v>3156</v>
      </c>
      <c r="V187" t="s">
        <v>3157</v>
      </c>
      <c r="W187" t="s">
        <v>3158</v>
      </c>
      <c r="X187" t="s">
        <v>3159</v>
      </c>
      <c r="Y187" t="s">
        <v>3160</v>
      </c>
      <c r="Z187" t="s">
        <v>3161</v>
      </c>
      <c r="AA187" t="s">
        <v>74</v>
      </c>
      <c r="AB187" t="s">
        <v>74</v>
      </c>
      <c r="AC187" t="s">
        <v>74</v>
      </c>
      <c r="AD187" t="s">
        <v>74</v>
      </c>
      <c r="AE187" t="s">
        <v>74</v>
      </c>
      <c r="AF187" t="s">
        <v>74</v>
      </c>
      <c r="AG187">
        <v>22</v>
      </c>
      <c r="AH187">
        <v>38</v>
      </c>
      <c r="AI187">
        <v>40</v>
      </c>
      <c r="AJ187">
        <v>2</v>
      </c>
      <c r="AK187">
        <v>9</v>
      </c>
      <c r="AL187" t="s">
        <v>297</v>
      </c>
      <c r="AM187" t="s">
        <v>298</v>
      </c>
      <c r="AN187" t="s">
        <v>299</v>
      </c>
      <c r="AO187" t="s">
        <v>1700</v>
      </c>
      <c r="AP187" t="s">
        <v>3162</v>
      </c>
      <c r="AQ187" t="s">
        <v>74</v>
      </c>
      <c r="AR187" t="s">
        <v>1701</v>
      </c>
      <c r="AS187" t="s">
        <v>1702</v>
      </c>
      <c r="AT187" t="s">
        <v>2589</v>
      </c>
      <c r="AU187">
        <v>2004</v>
      </c>
      <c r="AV187">
        <v>34</v>
      </c>
      <c r="AW187">
        <v>2</v>
      </c>
      <c r="AX187" t="s">
        <v>74</v>
      </c>
      <c r="AY187" t="s">
        <v>74</v>
      </c>
      <c r="AZ187" t="s">
        <v>74</v>
      </c>
      <c r="BA187" t="s">
        <v>74</v>
      </c>
      <c r="BB187">
        <v>372</v>
      </c>
      <c r="BC187">
        <v>383</v>
      </c>
      <c r="BD187" t="s">
        <v>74</v>
      </c>
      <c r="BE187" t="s">
        <v>3163</v>
      </c>
      <c r="BF187" t="str">
        <f>HYPERLINK("http://dx.doi.org/10.1175/1520-0485(2004)034&lt;0372:EDFATR&gt;2.0.CO;2","http://dx.doi.org/10.1175/1520-0485(2004)034&lt;0372:EDFATR&gt;2.0.CO;2")</f>
        <v>http://dx.doi.org/10.1175/1520-0485(2004)034&lt;0372:EDFATR&gt;2.0.CO;2</v>
      </c>
      <c r="BG187" t="s">
        <v>74</v>
      </c>
      <c r="BH187" t="s">
        <v>74</v>
      </c>
      <c r="BI187">
        <v>12</v>
      </c>
      <c r="BJ187" t="s">
        <v>477</v>
      </c>
      <c r="BK187" t="s">
        <v>96</v>
      </c>
      <c r="BL187" t="s">
        <v>477</v>
      </c>
      <c r="BM187" t="s">
        <v>3164</v>
      </c>
      <c r="BN187" t="s">
        <v>74</v>
      </c>
      <c r="BO187" t="s">
        <v>541</v>
      </c>
      <c r="BP187" t="s">
        <v>74</v>
      </c>
      <c r="BQ187" t="s">
        <v>74</v>
      </c>
      <c r="BR187" t="s">
        <v>99</v>
      </c>
      <c r="BS187" t="s">
        <v>3165</v>
      </c>
      <c r="BT187" t="str">
        <f>HYPERLINK("https%3A%2F%2Fwww.webofscience.com%2Fwos%2Fwoscc%2Ffull-record%2FWOS:000188844500003","View Full Record in Web of Science")</f>
        <v>View Full Record in Web of Science</v>
      </c>
    </row>
    <row r="188" spans="1:72" x14ac:dyDescent="0.15">
      <c r="A188" t="s">
        <v>72</v>
      </c>
      <c r="B188" t="s">
        <v>3166</v>
      </c>
      <c r="C188" t="s">
        <v>74</v>
      </c>
      <c r="D188" t="s">
        <v>74</v>
      </c>
      <c r="E188" t="s">
        <v>74</v>
      </c>
      <c r="F188" t="s">
        <v>3166</v>
      </c>
      <c r="G188" t="s">
        <v>74</v>
      </c>
      <c r="H188" t="s">
        <v>74</v>
      </c>
      <c r="I188" t="s">
        <v>3167</v>
      </c>
      <c r="J188" t="s">
        <v>1693</v>
      </c>
      <c r="K188" t="s">
        <v>74</v>
      </c>
      <c r="L188" t="s">
        <v>74</v>
      </c>
      <c r="M188" t="s">
        <v>77</v>
      </c>
      <c r="N188" t="s">
        <v>78</v>
      </c>
      <c r="O188" t="s">
        <v>74</v>
      </c>
      <c r="P188" t="s">
        <v>74</v>
      </c>
      <c r="Q188" t="s">
        <v>74</v>
      </c>
      <c r="R188" t="s">
        <v>74</v>
      </c>
      <c r="S188" t="s">
        <v>74</v>
      </c>
      <c r="T188" t="s">
        <v>74</v>
      </c>
      <c r="U188" t="s">
        <v>3168</v>
      </c>
      <c r="V188" t="s">
        <v>3169</v>
      </c>
      <c r="W188" t="s">
        <v>3170</v>
      </c>
      <c r="X188" t="s">
        <v>3171</v>
      </c>
      <c r="Y188" t="s">
        <v>3172</v>
      </c>
      <c r="Z188" t="s">
        <v>3173</v>
      </c>
      <c r="AA188" t="s">
        <v>3174</v>
      </c>
      <c r="AB188" t="s">
        <v>3175</v>
      </c>
      <c r="AC188" t="s">
        <v>74</v>
      </c>
      <c r="AD188" t="s">
        <v>74</v>
      </c>
      <c r="AE188" t="s">
        <v>74</v>
      </c>
      <c r="AF188" t="s">
        <v>74</v>
      </c>
      <c r="AG188">
        <v>33</v>
      </c>
      <c r="AH188">
        <v>29</v>
      </c>
      <c r="AI188">
        <v>32</v>
      </c>
      <c r="AJ188">
        <v>0</v>
      </c>
      <c r="AK188">
        <v>5</v>
      </c>
      <c r="AL188" t="s">
        <v>297</v>
      </c>
      <c r="AM188" t="s">
        <v>298</v>
      </c>
      <c r="AN188" t="s">
        <v>299</v>
      </c>
      <c r="AO188" t="s">
        <v>1700</v>
      </c>
      <c r="AP188" t="s">
        <v>74</v>
      </c>
      <c r="AQ188" t="s">
        <v>74</v>
      </c>
      <c r="AR188" t="s">
        <v>1701</v>
      </c>
      <c r="AS188" t="s">
        <v>1702</v>
      </c>
      <c r="AT188" t="s">
        <v>2589</v>
      </c>
      <c r="AU188">
        <v>2004</v>
      </c>
      <c r="AV188">
        <v>34</v>
      </c>
      <c r="AW188">
        <v>2</v>
      </c>
      <c r="AX188" t="s">
        <v>74</v>
      </c>
      <c r="AY188" t="s">
        <v>74</v>
      </c>
      <c r="AZ188" t="s">
        <v>74</v>
      </c>
      <c r="BA188" t="s">
        <v>74</v>
      </c>
      <c r="BB188">
        <v>416</v>
      </c>
      <c r="BC188">
        <v>432</v>
      </c>
      <c r="BD188" t="s">
        <v>74</v>
      </c>
      <c r="BE188" t="s">
        <v>3176</v>
      </c>
      <c r="BF188" t="str">
        <f>HYPERLINK("http://dx.doi.org/10.1175/1520-0485(2004)034&lt;0416:EOBFON&gt;2.0.CO;2","http://dx.doi.org/10.1175/1520-0485(2004)034&lt;0416:EOBFON&gt;2.0.CO;2")</f>
        <v>http://dx.doi.org/10.1175/1520-0485(2004)034&lt;0416:EOBFON&gt;2.0.CO;2</v>
      </c>
      <c r="BG188" t="s">
        <v>74</v>
      </c>
      <c r="BH188" t="s">
        <v>74</v>
      </c>
      <c r="BI188">
        <v>17</v>
      </c>
      <c r="BJ188" t="s">
        <v>477</v>
      </c>
      <c r="BK188" t="s">
        <v>96</v>
      </c>
      <c r="BL188" t="s">
        <v>477</v>
      </c>
      <c r="BM188" t="s">
        <v>3164</v>
      </c>
      <c r="BN188" t="s">
        <v>74</v>
      </c>
      <c r="BO188" t="s">
        <v>3177</v>
      </c>
      <c r="BP188" t="s">
        <v>74</v>
      </c>
      <c r="BQ188" t="s">
        <v>74</v>
      </c>
      <c r="BR188" t="s">
        <v>99</v>
      </c>
      <c r="BS188" t="s">
        <v>3178</v>
      </c>
      <c r="BT188" t="str">
        <f>HYPERLINK("https%3A%2F%2Fwww.webofscience.com%2Fwos%2Fwoscc%2Ffull-record%2FWOS:000188844500006","View Full Record in Web of Science")</f>
        <v>View Full Record in Web of Science</v>
      </c>
    </row>
    <row r="189" spans="1:72" x14ac:dyDescent="0.15">
      <c r="A189" t="s">
        <v>72</v>
      </c>
      <c r="B189" t="s">
        <v>3179</v>
      </c>
      <c r="C189" t="s">
        <v>74</v>
      </c>
      <c r="D189" t="s">
        <v>74</v>
      </c>
      <c r="E189" t="s">
        <v>74</v>
      </c>
      <c r="F189" t="s">
        <v>3179</v>
      </c>
      <c r="G189" t="s">
        <v>74</v>
      </c>
      <c r="H189" t="s">
        <v>74</v>
      </c>
      <c r="I189" t="s">
        <v>3180</v>
      </c>
      <c r="J189" t="s">
        <v>3181</v>
      </c>
      <c r="K189" t="s">
        <v>74</v>
      </c>
      <c r="L189" t="s">
        <v>74</v>
      </c>
      <c r="M189" t="s">
        <v>77</v>
      </c>
      <c r="N189" t="s">
        <v>78</v>
      </c>
      <c r="O189" t="s">
        <v>74</v>
      </c>
      <c r="P189" t="s">
        <v>74</v>
      </c>
      <c r="Q189" t="s">
        <v>74</v>
      </c>
      <c r="R189" t="s">
        <v>74</v>
      </c>
      <c r="S189" t="s">
        <v>74</v>
      </c>
      <c r="T189" t="s">
        <v>74</v>
      </c>
      <c r="U189" t="s">
        <v>3182</v>
      </c>
      <c r="V189" t="s">
        <v>3183</v>
      </c>
      <c r="W189" t="s">
        <v>3184</v>
      </c>
      <c r="X189" t="s">
        <v>3185</v>
      </c>
      <c r="Y189" t="s">
        <v>3186</v>
      </c>
      <c r="Z189" t="s">
        <v>3187</v>
      </c>
      <c r="AA189" t="s">
        <v>964</v>
      </c>
      <c r="AB189" t="s">
        <v>74</v>
      </c>
      <c r="AC189" t="s">
        <v>74</v>
      </c>
      <c r="AD189" t="s">
        <v>74</v>
      </c>
      <c r="AE189" t="s">
        <v>74</v>
      </c>
      <c r="AF189" t="s">
        <v>74</v>
      </c>
      <c r="AG189">
        <v>44</v>
      </c>
      <c r="AH189">
        <v>14</v>
      </c>
      <c r="AI189">
        <v>17</v>
      </c>
      <c r="AJ189">
        <v>0</v>
      </c>
      <c r="AK189">
        <v>4</v>
      </c>
      <c r="AL189" t="s">
        <v>277</v>
      </c>
      <c r="AM189" t="s">
        <v>214</v>
      </c>
      <c r="AN189" t="s">
        <v>278</v>
      </c>
      <c r="AO189" t="s">
        <v>3188</v>
      </c>
      <c r="AP189" t="s">
        <v>74</v>
      </c>
      <c r="AQ189" t="s">
        <v>74</v>
      </c>
      <c r="AR189" t="s">
        <v>3189</v>
      </c>
      <c r="AS189" t="s">
        <v>3190</v>
      </c>
      <c r="AT189" t="s">
        <v>2589</v>
      </c>
      <c r="AU189">
        <v>2004</v>
      </c>
      <c r="AV189">
        <v>26</v>
      </c>
      <c r="AW189">
        <v>2</v>
      </c>
      <c r="AX189" t="s">
        <v>74</v>
      </c>
      <c r="AY189" t="s">
        <v>74</v>
      </c>
      <c r="AZ189" t="s">
        <v>74</v>
      </c>
      <c r="BA189" t="s">
        <v>74</v>
      </c>
      <c r="BB189">
        <v>227</v>
      </c>
      <c r="BC189">
        <v>234</v>
      </c>
      <c r="BD189" t="s">
        <v>74</v>
      </c>
      <c r="BE189" t="s">
        <v>3191</v>
      </c>
      <c r="BF189" t="str">
        <f>HYPERLINK("http://dx.doi.org/10.1093/plankt/fbh017","http://dx.doi.org/10.1093/plankt/fbh017")</f>
        <v>http://dx.doi.org/10.1093/plankt/fbh017</v>
      </c>
      <c r="BG189" t="s">
        <v>74</v>
      </c>
      <c r="BH189" t="s">
        <v>74</v>
      </c>
      <c r="BI189">
        <v>8</v>
      </c>
      <c r="BJ189" t="s">
        <v>3192</v>
      </c>
      <c r="BK189" t="s">
        <v>96</v>
      </c>
      <c r="BL189" t="s">
        <v>3192</v>
      </c>
      <c r="BM189" t="s">
        <v>3193</v>
      </c>
      <c r="BN189" t="s">
        <v>74</v>
      </c>
      <c r="BO189" t="s">
        <v>541</v>
      </c>
      <c r="BP189" t="s">
        <v>74</v>
      </c>
      <c r="BQ189" t="s">
        <v>74</v>
      </c>
      <c r="BR189" t="s">
        <v>99</v>
      </c>
      <c r="BS189" t="s">
        <v>3194</v>
      </c>
      <c r="BT189" t="str">
        <f>HYPERLINK("https%3A%2F%2Fwww.webofscience.com%2Fwos%2Fwoscc%2Ffull-record%2FWOS:000188987800011","View Full Record in Web of Science")</f>
        <v>View Full Record in Web of Science</v>
      </c>
    </row>
    <row r="190" spans="1:72" x14ac:dyDescent="0.15">
      <c r="A190" t="s">
        <v>72</v>
      </c>
      <c r="B190" t="s">
        <v>3195</v>
      </c>
      <c r="C190" t="s">
        <v>74</v>
      </c>
      <c r="D190" t="s">
        <v>74</v>
      </c>
      <c r="E190" t="s">
        <v>74</v>
      </c>
      <c r="F190" t="s">
        <v>3195</v>
      </c>
      <c r="G190" t="s">
        <v>74</v>
      </c>
      <c r="H190" t="s">
        <v>74</v>
      </c>
      <c r="I190" t="s">
        <v>3196</v>
      </c>
      <c r="J190" t="s">
        <v>3197</v>
      </c>
      <c r="K190" t="s">
        <v>74</v>
      </c>
      <c r="L190" t="s">
        <v>74</v>
      </c>
      <c r="M190" t="s">
        <v>77</v>
      </c>
      <c r="N190" t="s">
        <v>78</v>
      </c>
      <c r="O190" t="s">
        <v>74</v>
      </c>
      <c r="P190" t="s">
        <v>74</v>
      </c>
      <c r="Q190" t="s">
        <v>74</v>
      </c>
      <c r="R190" t="s">
        <v>74</v>
      </c>
      <c r="S190" t="s">
        <v>74</v>
      </c>
      <c r="T190" t="s">
        <v>74</v>
      </c>
      <c r="U190" t="s">
        <v>3198</v>
      </c>
      <c r="V190" t="s">
        <v>3199</v>
      </c>
      <c r="W190" t="s">
        <v>3200</v>
      </c>
      <c r="X190" t="s">
        <v>3201</v>
      </c>
      <c r="Y190" t="s">
        <v>3202</v>
      </c>
      <c r="Z190" t="s">
        <v>3203</v>
      </c>
      <c r="AA190" t="s">
        <v>3204</v>
      </c>
      <c r="AB190" t="s">
        <v>3205</v>
      </c>
      <c r="AC190" t="s">
        <v>74</v>
      </c>
      <c r="AD190" t="s">
        <v>74</v>
      </c>
      <c r="AE190" t="s">
        <v>74</v>
      </c>
      <c r="AF190" t="s">
        <v>74</v>
      </c>
      <c r="AG190">
        <v>9</v>
      </c>
      <c r="AH190">
        <v>4</v>
      </c>
      <c r="AI190">
        <v>4</v>
      </c>
      <c r="AJ190">
        <v>0</v>
      </c>
      <c r="AK190">
        <v>1</v>
      </c>
      <c r="AL190" t="s">
        <v>136</v>
      </c>
      <c r="AM190" t="s">
        <v>87</v>
      </c>
      <c r="AN190" t="s">
        <v>137</v>
      </c>
      <c r="AO190" t="s">
        <v>3206</v>
      </c>
      <c r="AP190" t="s">
        <v>3207</v>
      </c>
      <c r="AQ190" t="s">
        <v>74</v>
      </c>
      <c r="AR190" t="s">
        <v>3208</v>
      </c>
      <c r="AS190" t="s">
        <v>3209</v>
      </c>
      <c r="AT190" t="s">
        <v>2589</v>
      </c>
      <c r="AU190">
        <v>2004</v>
      </c>
      <c r="AV190">
        <v>84</v>
      </c>
      <c r="AW190">
        <v>1</v>
      </c>
      <c r="AX190" t="s">
        <v>74</v>
      </c>
      <c r="AY190" t="s">
        <v>74</v>
      </c>
      <c r="AZ190" t="s">
        <v>74</v>
      </c>
      <c r="BA190" t="s">
        <v>74</v>
      </c>
      <c r="BB190">
        <v>29</v>
      </c>
      <c r="BC190">
        <v>36</v>
      </c>
      <c r="BD190" t="s">
        <v>74</v>
      </c>
      <c r="BE190" t="s">
        <v>3210</v>
      </c>
      <c r="BF190" t="str">
        <f>HYPERLINK("http://dx.doi.org/10.1017/S0025315404008872h","http://dx.doi.org/10.1017/S0025315404008872h")</f>
        <v>http://dx.doi.org/10.1017/S0025315404008872h</v>
      </c>
      <c r="BG190" t="s">
        <v>74</v>
      </c>
      <c r="BH190" t="s">
        <v>74</v>
      </c>
      <c r="BI190">
        <v>8</v>
      </c>
      <c r="BJ190" t="s">
        <v>1770</v>
      </c>
      <c r="BK190" t="s">
        <v>96</v>
      </c>
      <c r="BL190" t="s">
        <v>1770</v>
      </c>
      <c r="BM190" t="s">
        <v>3211</v>
      </c>
      <c r="BN190" t="s">
        <v>74</v>
      </c>
      <c r="BO190" t="s">
        <v>74</v>
      </c>
      <c r="BP190" t="s">
        <v>74</v>
      </c>
      <c r="BQ190" t="s">
        <v>74</v>
      </c>
      <c r="BR190" t="s">
        <v>99</v>
      </c>
      <c r="BS190" t="s">
        <v>3212</v>
      </c>
      <c r="BT190" t="str">
        <f>HYPERLINK("https%3A%2F%2Fwww.webofscience.com%2Fwos%2Fwoscc%2Ffull-record%2FWOS:000189309300005","View Full Record in Web of Science")</f>
        <v>View Full Record in Web of Science</v>
      </c>
    </row>
    <row r="191" spans="1:72" x14ac:dyDescent="0.15">
      <c r="A191" t="s">
        <v>72</v>
      </c>
      <c r="B191" t="s">
        <v>3213</v>
      </c>
      <c r="C191" t="s">
        <v>74</v>
      </c>
      <c r="D191" t="s">
        <v>74</v>
      </c>
      <c r="E191" t="s">
        <v>74</v>
      </c>
      <c r="F191" t="s">
        <v>3213</v>
      </c>
      <c r="G191" t="s">
        <v>74</v>
      </c>
      <c r="H191" t="s">
        <v>74</v>
      </c>
      <c r="I191" t="s">
        <v>3214</v>
      </c>
      <c r="J191" t="s">
        <v>3197</v>
      </c>
      <c r="K191" t="s">
        <v>74</v>
      </c>
      <c r="L191" t="s">
        <v>74</v>
      </c>
      <c r="M191" t="s">
        <v>77</v>
      </c>
      <c r="N191" t="s">
        <v>78</v>
      </c>
      <c r="O191" t="s">
        <v>74</v>
      </c>
      <c r="P191" t="s">
        <v>74</v>
      </c>
      <c r="Q191" t="s">
        <v>74</v>
      </c>
      <c r="R191" t="s">
        <v>74</v>
      </c>
      <c r="S191" t="s">
        <v>74</v>
      </c>
      <c r="T191" t="s">
        <v>74</v>
      </c>
      <c r="U191" t="s">
        <v>3215</v>
      </c>
      <c r="V191" t="s">
        <v>3216</v>
      </c>
      <c r="W191" t="s">
        <v>3217</v>
      </c>
      <c r="X191" t="s">
        <v>3218</v>
      </c>
      <c r="Y191" t="s">
        <v>3219</v>
      </c>
      <c r="Z191" t="s">
        <v>3220</v>
      </c>
      <c r="AA191" t="s">
        <v>74</v>
      </c>
      <c r="AB191" t="s">
        <v>74</v>
      </c>
      <c r="AC191" t="s">
        <v>74</v>
      </c>
      <c r="AD191" t="s">
        <v>74</v>
      </c>
      <c r="AE191" t="s">
        <v>74</v>
      </c>
      <c r="AF191" t="s">
        <v>74</v>
      </c>
      <c r="AG191">
        <v>20</v>
      </c>
      <c r="AH191">
        <v>12</v>
      </c>
      <c r="AI191">
        <v>12</v>
      </c>
      <c r="AJ191">
        <v>0</v>
      </c>
      <c r="AK191">
        <v>4</v>
      </c>
      <c r="AL191" t="s">
        <v>136</v>
      </c>
      <c r="AM191" t="s">
        <v>87</v>
      </c>
      <c r="AN191" t="s">
        <v>137</v>
      </c>
      <c r="AO191" t="s">
        <v>3206</v>
      </c>
      <c r="AP191" t="s">
        <v>74</v>
      </c>
      <c r="AQ191" t="s">
        <v>74</v>
      </c>
      <c r="AR191" t="s">
        <v>3208</v>
      </c>
      <c r="AS191" t="s">
        <v>3209</v>
      </c>
      <c r="AT191" t="s">
        <v>2589</v>
      </c>
      <c r="AU191">
        <v>2004</v>
      </c>
      <c r="AV191">
        <v>84</v>
      </c>
      <c r="AW191">
        <v>1</v>
      </c>
      <c r="AX191" t="s">
        <v>74</v>
      </c>
      <c r="AY191" t="s">
        <v>74</v>
      </c>
      <c r="AZ191" t="s">
        <v>74</v>
      </c>
      <c r="BA191" t="s">
        <v>74</v>
      </c>
      <c r="BB191">
        <v>179</v>
      </c>
      <c r="BC191">
        <v>190</v>
      </c>
      <c r="BD191" t="s">
        <v>74</v>
      </c>
      <c r="BE191" t="s">
        <v>74</v>
      </c>
      <c r="BF191" t="s">
        <v>74</v>
      </c>
      <c r="BG191" t="s">
        <v>74</v>
      </c>
      <c r="BH191" t="s">
        <v>74</v>
      </c>
      <c r="BI191">
        <v>12</v>
      </c>
      <c r="BJ191" t="s">
        <v>1770</v>
      </c>
      <c r="BK191" t="s">
        <v>96</v>
      </c>
      <c r="BL191" t="s">
        <v>1770</v>
      </c>
      <c r="BM191" t="s">
        <v>3211</v>
      </c>
      <c r="BN191" t="s">
        <v>74</v>
      </c>
      <c r="BO191" t="s">
        <v>74</v>
      </c>
      <c r="BP191" t="s">
        <v>74</v>
      </c>
      <c r="BQ191" t="s">
        <v>74</v>
      </c>
      <c r="BR191" t="s">
        <v>99</v>
      </c>
      <c r="BS191" t="s">
        <v>3221</v>
      </c>
      <c r="BT191" t="str">
        <f>HYPERLINK("https%3A%2F%2Fwww.webofscience.com%2Fwos%2Fwoscc%2Ffull-record%2FWOS:000189309300022","View Full Record in Web of Science")</f>
        <v>View Full Record in Web of Science</v>
      </c>
    </row>
    <row r="192" spans="1:72" x14ac:dyDescent="0.15">
      <c r="A192" t="s">
        <v>72</v>
      </c>
      <c r="B192" t="s">
        <v>3222</v>
      </c>
      <c r="C192" t="s">
        <v>74</v>
      </c>
      <c r="D192" t="s">
        <v>74</v>
      </c>
      <c r="E192" t="s">
        <v>74</v>
      </c>
      <c r="F192" t="s">
        <v>3222</v>
      </c>
      <c r="G192" t="s">
        <v>74</v>
      </c>
      <c r="H192" t="s">
        <v>74</v>
      </c>
      <c r="I192" t="s">
        <v>3223</v>
      </c>
      <c r="J192" t="s">
        <v>3197</v>
      </c>
      <c r="K192" t="s">
        <v>74</v>
      </c>
      <c r="L192" t="s">
        <v>74</v>
      </c>
      <c r="M192" t="s">
        <v>77</v>
      </c>
      <c r="N192" t="s">
        <v>78</v>
      </c>
      <c r="O192" t="s">
        <v>74</v>
      </c>
      <c r="P192" t="s">
        <v>74</v>
      </c>
      <c r="Q192" t="s">
        <v>74</v>
      </c>
      <c r="R192" t="s">
        <v>74</v>
      </c>
      <c r="S192" t="s">
        <v>74</v>
      </c>
      <c r="T192" t="s">
        <v>74</v>
      </c>
      <c r="U192" t="s">
        <v>74</v>
      </c>
      <c r="V192" t="s">
        <v>3224</v>
      </c>
      <c r="W192" t="s">
        <v>3225</v>
      </c>
      <c r="X192" t="s">
        <v>3226</v>
      </c>
      <c r="Y192" t="s">
        <v>3227</v>
      </c>
      <c r="Z192" t="s">
        <v>3228</v>
      </c>
      <c r="AA192" t="s">
        <v>3229</v>
      </c>
      <c r="AB192" t="s">
        <v>74</v>
      </c>
      <c r="AC192" t="s">
        <v>74</v>
      </c>
      <c r="AD192" t="s">
        <v>74</v>
      </c>
      <c r="AE192" t="s">
        <v>74</v>
      </c>
      <c r="AF192" t="s">
        <v>74</v>
      </c>
      <c r="AG192">
        <v>20</v>
      </c>
      <c r="AH192">
        <v>33</v>
      </c>
      <c r="AI192">
        <v>35</v>
      </c>
      <c r="AJ192">
        <v>0</v>
      </c>
      <c r="AK192">
        <v>8</v>
      </c>
      <c r="AL192" t="s">
        <v>136</v>
      </c>
      <c r="AM192" t="s">
        <v>87</v>
      </c>
      <c r="AN192" t="s">
        <v>163</v>
      </c>
      <c r="AO192" t="s">
        <v>3206</v>
      </c>
      <c r="AP192" t="s">
        <v>74</v>
      </c>
      <c r="AQ192" t="s">
        <v>74</v>
      </c>
      <c r="AR192" t="s">
        <v>3208</v>
      </c>
      <c r="AS192" t="s">
        <v>3209</v>
      </c>
      <c r="AT192" t="s">
        <v>2589</v>
      </c>
      <c r="AU192">
        <v>2004</v>
      </c>
      <c r="AV192">
        <v>84</v>
      </c>
      <c r="AW192">
        <v>1</v>
      </c>
      <c r="AX192" t="s">
        <v>74</v>
      </c>
      <c r="AY192" t="s">
        <v>74</v>
      </c>
      <c r="AZ192" t="s">
        <v>74</v>
      </c>
      <c r="BA192" t="s">
        <v>74</v>
      </c>
      <c r="BB192">
        <v>239</v>
      </c>
      <c r="BC192">
        <v>241</v>
      </c>
      <c r="BD192" t="s">
        <v>74</v>
      </c>
      <c r="BE192" t="s">
        <v>3230</v>
      </c>
      <c r="BF192" t="str">
        <f>HYPERLINK("http://dx.doi.org/10.1017/S0025315404009105h","http://dx.doi.org/10.1017/S0025315404009105h")</f>
        <v>http://dx.doi.org/10.1017/S0025315404009105h</v>
      </c>
      <c r="BG192" t="s">
        <v>74</v>
      </c>
      <c r="BH192" t="s">
        <v>74</v>
      </c>
      <c r="BI192">
        <v>3</v>
      </c>
      <c r="BJ192" t="s">
        <v>1770</v>
      </c>
      <c r="BK192" t="s">
        <v>96</v>
      </c>
      <c r="BL192" t="s">
        <v>1770</v>
      </c>
      <c r="BM192" t="s">
        <v>3211</v>
      </c>
      <c r="BN192" t="s">
        <v>74</v>
      </c>
      <c r="BO192" t="s">
        <v>74</v>
      </c>
      <c r="BP192" t="s">
        <v>74</v>
      </c>
      <c r="BQ192" t="s">
        <v>74</v>
      </c>
      <c r="BR192" t="s">
        <v>99</v>
      </c>
      <c r="BS192" t="s">
        <v>3231</v>
      </c>
      <c r="BT192" t="str">
        <f>HYPERLINK("https%3A%2F%2Fwww.webofscience.com%2Fwos%2Fwoscc%2Ffull-record%2FWOS:000189309300028","View Full Record in Web of Science")</f>
        <v>View Full Record in Web of Science</v>
      </c>
    </row>
    <row r="193" spans="1:72" x14ac:dyDescent="0.15">
      <c r="A193" t="s">
        <v>72</v>
      </c>
      <c r="B193" t="s">
        <v>3232</v>
      </c>
      <c r="C193" t="s">
        <v>74</v>
      </c>
      <c r="D193" t="s">
        <v>74</v>
      </c>
      <c r="E193" t="s">
        <v>74</v>
      </c>
      <c r="F193" t="s">
        <v>3232</v>
      </c>
      <c r="G193" t="s">
        <v>74</v>
      </c>
      <c r="H193" t="s">
        <v>74</v>
      </c>
      <c r="I193" t="s">
        <v>3233</v>
      </c>
      <c r="J193" t="s">
        <v>3197</v>
      </c>
      <c r="K193" t="s">
        <v>74</v>
      </c>
      <c r="L193" t="s">
        <v>74</v>
      </c>
      <c r="M193" t="s">
        <v>77</v>
      </c>
      <c r="N193" t="s">
        <v>78</v>
      </c>
      <c r="O193" t="s">
        <v>74</v>
      </c>
      <c r="P193" t="s">
        <v>74</v>
      </c>
      <c r="Q193" t="s">
        <v>74</v>
      </c>
      <c r="R193" t="s">
        <v>74</v>
      </c>
      <c r="S193" t="s">
        <v>74</v>
      </c>
      <c r="T193" t="s">
        <v>74</v>
      </c>
      <c r="U193" t="s">
        <v>3234</v>
      </c>
      <c r="V193" t="s">
        <v>3235</v>
      </c>
      <c r="W193" t="s">
        <v>3236</v>
      </c>
      <c r="X193" t="s">
        <v>3237</v>
      </c>
      <c r="Y193" t="s">
        <v>3238</v>
      </c>
      <c r="Z193" t="s">
        <v>3239</v>
      </c>
      <c r="AA193" t="s">
        <v>3240</v>
      </c>
      <c r="AB193" t="s">
        <v>3241</v>
      </c>
      <c r="AC193" t="s">
        <v>74</v>
      </c>
      <c r="AD193" t="s">
        <v>74</v>
      </c>
      <c r="AE193" t="s">
        <v>74</v>
      </c>
      <c r="AF193" t="s">
        <v>74</v>
      </c>
      <c r="AG193">
        <v>31</v>
      </c>
      <c r="AH193">
        <v>13</v>
      </c>
      <c r="AI193">
        <v>17</v>
      </c>
      <c r="AJ193">
        <v>0</v>
      </c>
      <c r="AK193">
        <v>9</v>
      </c>
      <c r="AL193" t="s">
        <v>136</v>
      </c>
      <c r="AM193" t="s">
        <v>87</v>
      </c>
      <c r="AN193" t="s">
        <v>137</v>
      </c>
      <c r="AO193" t="s">
        <v>3206</v>
      </c>
      <c r="AP193" t="s">
        <v>74</v>
      </c>
      <c r="AQ193" t="s">
        <v>74</v>
      </c>
      <c r="AR193" t="s">
        <v>3208</v>
      </c>
      <c r="AS193" t="s">
        <v>3209</v>
      </c>
      <c r="AT193" t="s">
        <v>2589</v>
      </c>
      <c r="AU193">
        <v>2004</v>
      </c>
      <c r="AV193">
        <v>84</v>
      </c>
      <c r="AW193">
        <v>1</v>
      </c>
      <c r="AX193" t="s">
        <v>74</v>
      </c>
      <c r="AY193" t="s">
        <v>74</v>
      </c>
      <c r="AZ193" t="s">
        <v>74</v>
      </c>
      <c r="BA193" t="s">
        <v>74</v>
      </c>
      <c r="BB193">
        <v>253</v>
      </c>
      <c r="BC193">
        <v>265</v>
      </c>
      <c r="BD193" t="s">
        <v>74</v>
      </c>
      <c r="BE193" t="s">
        <v>3242</v>
      </c>
      <c r="BF193" t="str">
        <f>HYPERLINK("http://dx.doi.org/10.1017/S0025315404009129h","http://dx.doi.org/10.1017/S0025315404009129h")</f>
        <v>http://dx.doi.org/10.1017/S0025315404009129h</v>
      </c>
      <c r="BG193" t="s">
        <v>74</v>
      </c>
      <c r="BH193" t="s">
        <v>74</v>
      </c>
      <c r="BI193">
        <v>13</v>
      </c>
      <c r="BJ193" t="s">
        <v>1770</v>
      </c>
      <c r="BK193" t="s">
        <v>96</v>
      </c>
      <c r="BL193" t="s">
        <v>1770</v>
      </c>
      <c r="BM193" t="s">
        <v>3211</v>
      </c>
      <c r="BN193" t="s">
        <v>74</v>
      </c>
      <c r="BO193" t="s">
        <v>74</v>
      </c>
      <c r="BP193" t="s">
        <v>74</v>
      </c>
      <c r="BQ193" t="s">
        <v>74</v>
      </c>
      <c r="BR193" t="s">
        <v>99</v>
      </c>
      <c r="BS193" t="s">
        <v>3243</v>
      </c>
      <c r="BT193" t="str">
        <f>HYPERLINK("https%3A%2F%2Fwww.webofscience.com%2Fwos%2Fwoscc%2Ffull-record%2FWOS:000189309300030","View Full Record in Web of Science")</f>
        <v>View Full Record in Web of Science</v>
      </c>
    </row>
    <row r="194" spans="1:72" x14ac:dyDescent="0.15">
      <c r="A194" t="s">
        <v>72</v>
      </c>
      <c r="B194" t="s">
        <v>3244</v>
      </c>
      <c r="C194" t="s">
        <v>74</v>
      </c>
      <c r="D194" t="s">
        <v>74</v>
      </c>
      <c r="E194" t="s">
        <v>74</v>
      </c>
      <c r="F194" t="s">
        <v>3244</v>
      </c>
      <c r="G194" t="s">
        <v>74</v>
      </c>
      <c r="H194" t="s">
        <v>74</v>
      </c>
      <c r="I194" t="s">
        <v>3245</v>
      </c>
      <c r="J194" t="s">
        <v>3246</v>
      </c>
      <c r="K194" t="s">
        <v>74</v>
      </c>
      <c r="L194" t="s">
        <v>74</v>
      </c>
      <c r="M194" t="s">
        <v>77</v>
      </c>
      <c r="N194" t="s">
        <v>78</v>
      </c>
      <c r="O194" t="s">
        <v>74</v>
      </c>
      <c r="P194" t="s">
        <v>74</v>
      </c>
      <c r="Q194" t="s">
        <v>74</v>
      </c>
      <c r="R194" t="s">
        <v>74</v>
      </c>
      <c r="S194" t="s">
        <v>74</v>
      </c>
      <c r="T194" t="s">
        <v>74</v>
      </c>
      <c r="U194" t="s">
        <v>3247</v>
      </c>
      <c r="V194" t="s">
        <v>3248</v>
      </c>
      <c r="W194" t="s">
        <v>3249</v>
      </c>
      <c r="X194" t="s">
        <v>3250</v>
      </c>
      <c r="Y194" t="s">
        <v>3251</v>
      </c>
      <c r="Z194" t="s">
        <v>3252</v>
      </c>
      <c r="AA194" t="s">
        <v>3253</v>
      </c>
      <c r="AB194" t="s">
        <v>3254</v>
      </c>
      <c r="AC194" t="s">
        <v>74</v>
      </c>
      <c r="AD194" t="s">
        <v>74</v>
      </c>
      <c r="AE194" t="s">
        <v>74</v>
      </c>
      <c r="AF194" t="s">
        <v>74</v>
      </c>
      <c r="AG194">
        <v>26</v>
      </c>
      <c r="AH194">
        <v>47</v>
      </c>
      <c r="AI194">
        <v>49</v>
      </c>
      <c r="AJ194">
        <v>0</v>
      </c>
      <c r="AK194">
        <v>14</v>
      </c>
      <c r="AL194" t="s">
        <v>3255</v>
      </c>
      <c r="AM194" t="s">
        <v>3256</v>
      </c>
      <c r="AN194" t="s">
        <v>3257</v>
      </c>
      <c r="AO194" t="s">
        <v>74</v>
      </c>
      <c r="AP194" t="s">
        <v>74</v>
      </c>
      <c r="AQ194" t="s">
        <v>74</v>
      </c>
      <c r="AR194" t="s">
        <v>3258</v>
      </c>
      <c r="AS194" t="s">
        <v>3259</v>
      </c>
      <c r="AT194" t="s">
        <v>2589</v>
      </c>
      <c r="AU194">
        <v>2004</v>
      </c>
      <c r="AV194">
        <v>2</v>
      </c>
      <c r="AW194" t="s">
        <v>74</v>
      </c>
      <c r="AX194" t="s">
        <v>74</v>
      </c>
      <c r="AY194" t="s">
        <v>74</v>
      </c>
      <c r="AZ194" t="s">
        <v>74</v>
      </c>
      <c r="BA194" t="s">
        <v>74</v>
      </c>
      <c r="BB194">
        <v>42</v>
      </c>
      <c r="BC194">
        <v>54</v>
      </c>
      <c r="BD194" t="s">
        <v>74</v>
      </c>
      <c r="BE194" t="s">
        <v>3260</v>
      </c>
      <c r="BF194" t="str">
        <f>HYPERLINK("http://dx.doi.org/10.4319/lom.2004.2.42","http://dx.doi.org/10.4319/lom.2004.2.42")</f>
        <v>http://dx.doi.org/10.4319/lom.2004.2.42</v>
      </c>
      <c r="BG194" t="s">
        <v>74</v>
      </c>
      <c r="BH194" t="s">
        <v>74</v>
      </c>
      <c r="BI194">
        <v>13</v>
      </c>
      <c r="BJ194" t="s">
        <v>3261</v>
      </c>
      <c r="BK194" t="s">
        <v>96</v>
      </c>
      <c r="BL194" t="s">
        <v>3192</v>
      </c>
      <c r="BM194" t="s">
        <v>3262</v>
      </c>
      <c r="BN194" t="s">
        <v>74</v>
      </c>
      <c r="BO194" t="s">
        <v>623</v>
      </c>
      <c r="BP194" t="s">
        <v>74</v>
      </c>
      <c r="BQ194" t="s">
        <v>74</v>
      </c>
      <c r="BR194" t="s">
        <v>99</v>
      </c>
      <c r="BS194" t="s">
        <v>3263</v>
      </c>
      <c r="BT194" t="str">
        <f>HYPERLINK("https%3A%2F%2Fwww.webofscience.com%2Fwos%2Fwoscc%2Ffull-record%2FWOS:000227419000002","View Full Record in Web of Science")</f>
        <v>View Full Record in Web of Science</v>
      </c>
    </row>
    <row r="195" spans="1:72" x14ac:dyDescent="0.15">
      <c r="A195" t="s">
        <v>72</v>
      </c>
      <c r="B195" t="s">
        <v>3264</v>
      </c>
      <c r="C195" t="s">
        <v>74</v>
      </c>
      <c r="D195" t="s">
        <v>74</v>
      </c>
      <c r="E195" t="s">
        <v>74</v>
      </c>
      <c r="F195" t="s">
        <v>3264</v>
      </c>
      <c r="G195" t="s">
        <v>74</v>
      </c>
      <c r="H195" t="s">
        <v>74</v>
      </c>
      <c r="I195" t="s">
        <v>3265</v>
      </c>
      <c r="J195" t="s">
        <v>1756</v>
      </c>
      <c r="K195" t="s">
        <v>74</v>
      </c>
      <c r="L195" t="s">
        <v>74</v>
      </c>
      <c r="M195" t="s">
        <v>77</v>
      </c>
      <c r="N195" t="s">
        <v>78</v>
      </c>
      <c r="O195" t="s">
        <v>74</v>
      </c>
      <c r="P195" t="s">
        <v>74</v>
      </c>
      <c r="Q195" t="s">
        <v>74</v>
      </c>
      <c r="R195" t="s">
        <v>74</v>
      </c>
      <c r="S195" t="s">
        <v>74</v>
      </c>
      <c r="T195" t="s">
        <v>74</v>
      </c>
      <c r="U195" t="s">
        <v>3266</v>
      </c>
      <c r="V195" t="s">
        <v>3267</v>
      </c>
      <c r="W195" t="s">
        <v>3268</v>
      </c>
      <c r="X195" t="s">
        <v>3269</v>
      </c>
      <c r="Y195" t="s">
        <v>3270</v>
      </c>
      <c r="Z195" t="s">
        <v>3271</v>
      </c>
      <c r="AA195" t="s">
        <v>3272</v>
      </c>
      <c r="AB195" t="s">
        <v>3273</v>
      </c>
      <c r="AC195" t="s">
        <v>74</v>
      </c>
      <c r="AD195" t="s">
        <v>74</v>
      </c>
      <c r="AE195" t="s">
        <v>74</v>
      </c>
      <c r="AF195" t="s">
        <v>74</v>
      </c>
      <c r="AG195">
        <v>46</v>
      </c>
      <c r="AH195">
        <v>39</v>
      </c>
      <c r="AI195">
        <v>44</v>
      </c>
      <c r="AJ195">
        <v>0</v>
      </c>
      <c r="AK195">
        <v>15</v>
      </c>
      <c r="AL195" t="s">
        <v>123</v>
      </c>
      <c r="AM195" t="s">
        <v>87</v>
      </c>
      <c r="AN195" t="s">
        <v>124</v>
      </c>
      <c r="AO195" t="s">
        <v>1765</v>
      </c>
      <c r="AP195" t="s">
        <v>74</v>
      </c>
      <c r="AQ195" t="s">
        <v>74</v>
      </c>
      <c r="AR195" t="s">
        <v>1767</v>
      </c>
      <c r="AS195" t="s">
        <v>1768</v>
      </c>
      <c r="AT195" t="s">
        <v>2589</v>
      </c>
      <c r="AU195">
        <v>2004</v>
      </c>
      <c r="AV195">
        <v>144</v>
      </c>
      <c r="AW195">
        <v>2</v>
      </c>
      <c r="AX195" t="s">
        <v>74</v>
      </c>
      <c r="AY195" t="s">
        <v>74</v>
      </c>
      <c r="AZ195" t="s">
        <v>74</v>
      </c>
      <c r="BA195" t="s">
        <v>74</v>
      </c>
      <c r="BB195">
        <v>317</v>
      </c>
      <c r="BC195">
        <v>325</v>
      </c>
      <c r="BD195" t="s">
        <v>74</v>
      </c>
      <c r="BE195" t="s">
        <v>3274</v>
      </c>
      <c r="BF195" t="str">
        <f>HYPERLINK("http://dx.doi.org/10.1007/s00227-003-1196-3","http://dx.doi.org/10.1007/s00227-003-1196-3")</f>
        <v>http://dx.doi.org/10.1007/s00227-003-1196-3</v>
      </c>
      <c r="BG195" t="s">
        <v>74</v>
      </c>
      <c r="BH195" t="s">
        <v>74</v>
      </c>
      <c r="BI195">
        <v>9</v>
      </c>
      <c r="BJ195" t="s">
        <v>1770</v>
      </c>
      <c r="BK195" t="s">
        <v>96</v>
      </c>
      <c r="BL195" t="s">
        <v>1770</v>
      </c>
      <c r="BM195" t="s">
        <v>3275</v>
      </c>
      <c r="BN195" t="s">
        <v>74</v>
      </c>
      <c r="BO195" t="s">
        <v>74</v>
      </c>
      <c r="BP195" t="s">
        <v>74</v>
      </c>
      <c r="BQ195" t="s">
        <v>74</v>
      </c>
      <c r="BR195" t="s">
        <v>99</v>
      </c>
      <c r="BS195" t="s">
        <v>3276</v>
      </c>
      <c r="BT195" t="str">
        <f>HYPERLINK("https%3A%2F%2Fwww.webofscience.com%2Fwos%2Fwoscc%2Ffull-record%2FWOS:000188496200012","View Full Record in Web of Science")</f>
        <v>View Full Record in Web of Science</v>
      </c>
    </row>
    <row r="196" spans="1:72" x14ac:dyDescent="0.15">
      <c r="A196" t="s">
        <v>72</v>
      </c>
      <c r="B196" t="s">
        <v>3277</v>
      </c>
      <c r="C196" t="s">
        <v>74</v>
      </c>
      <c r="D196" t="s">
        <v>74</v>
      </c>
      <c r="E196" t="s">
        <v>74</v>
      </c>
      <c r="F196" t="s">
        <v>3277</v>
      </c>
      <c r="G196" t="s">
        <v>74</v>
      </c>
      <c r="H196" t="s">
        <v>74</v>
      </c>
      <c r="I196" t="s">
        <v>3278</v>
      </c>
      <c r="J196" t="s">
        <v>1756</v>
      </c>
      <c r="K196" t="s">
        <v>74</v>
      </c>
      <c r="L196" t="s">
        <v>74</v>
      </c>
      <c r="M196" t="s">
        <v>77</v>
      </c>
      <c r="N196" t="s">
        <v>78</v>
      </c>
      <c r="O196" t="s">
        <v>74</v>
      </c>
      <c r="P196" t="s">
        <v>74</v>
      </c>
      <c r="Q196" t="s">
        <v>74</v>
      </c>
      <c r="R196" t="s">
        <v>74</v>
      </c>
      <c r="S196" t="s">
        <v>74</v>
      </c>
      <c r="T196" t="s">
        <v>74</v>
      </c>
      <c r="U196" t="s">
        <v>3279</v>
      </c>
      <c r="V196" t="s">
        <v>3280</v>
      </c>
      <c r="W196" t="s">
        <v>3281</v>
      </c>
      <c r="X196" t="s">
        <v>3282</v>
      </c>
      <c r="Y196" t="s">
        <v>3283</v>
      </c>
      <c r="Z196" t="s">
        <v>3284</v>
      </c>
      <c r="AA196" t="s">
        <v>74</v>
      </c>
      <c r="AB196" t="s">
        <v>74</v>
      </c>
      <c r="AC196" t="s">
        <v>74</v>
      </c>
      <c r="AD196" t="s">
        <v>74</v>
      </c>
      <c r="AE196" t="s">
        <v>74</v>
      </c>
      <c r="AF196" t="s">
        <v>74</v>
      </c>
      <c r="AG196">
        <v>69</v>
      </c>
      <c r="AH196">
        <v>15</v>
      </c>
      <c r="AI196">
        <v>17</v>
      </c>
      <c r="AJ196">
        <v>0</v>
      </c>
      <c r="AK196">
        <v>20</v>
      </c>
      <c r="AL196" t="s">
        <v>123</v>
      </c>
      <c r="AM196" t="s">
        <v>87</v>
      </c>
      <c r="AN196" t="s">
        <v>124</v>
      </c>
      <c r="AO196" t="s">
        <v>1765</v>
      </c>
      <c r="AP196" t="s">
        <v>74</v>
      </c>
      <c r="AQ196" t="s">
        <v>74</v>
      </c>
      <c r="AR196" t="s">
        <v>1767</v>
      </c>
      <c r="AS196" t="s">
        <v>1768</v>
      </c>
      <c r="AT196" t="s">
        <v>2589</v>
      </c>
      <c r="AU196">
        <v>2004</v>
      </c>
      <c r="AV196">
        <v>144</v>
      </c>
      <c r="AW196">
        <v>2</v>
      </c>
      <c r="AX196" t="s">
        <v>74</v>
      </c>
      <c r="AY196" t="s">
        <v>74</v>
      </c>
      <c r="AZ196" t="s">
        <v>74</v>
      </c>
      <c r="BA196" t="s">
        <v>74</v>
      </c>
      <c r="BB196">
        <v>335</v>
      </c>
      <c r="BC196">
        <v>344</v>
      </c>
      <c r="BD196" t="s">
        <v>74</v>
      </c>
      <c r="BE196" t="s">
        <v>3285</v>
      </c>
      <c r="BF196" t="str">
        <f>HYPERLINK("http://dx.doi.org/10.1007/s00227-003-1189-2","http://dx.doi.org/10.1007/s00227-003-1189-2")</f>
        <v>http://dx.doi.org/10.1007/s00227-003-1189-2</v>
      </c>
      <c r="BG196" t="s">
        <v>74</v>
      </c>
      <c r="BH196" t="s">
        <v>74</v>
      </c>
      <c r="BI196">
        <v>10</v>
      </c>
      <c r="BJ196" t="s">
        <v>1770</v>
      </c>
      <c r="BK196" t="s">
        <v>96</v>
      </c>
      <c r="BL196" t="s">
        <v>1770</v>
      </c>
      <c r="BM196" t="s">
        <v>3275</v>
      </c>
      <c r="BN196" t="s">
        <v>74</v>
      </c>
      <c r="BO196" t="s">
        <v>74</v>
      </c>
      <c r="BP196" t="s">
        <v>74</v>
      </c>
      <c r="BQ196" t="s">
        <v>74</v>
      </c>
      <c r="BR196" t="s">
        <v>99</v>
      </c>
      <c r="BS196" t="s">
        <v>3286</v>
      </c>
      <c r="BT196" t="str">
        <f>HYPERLINK("https%3A%2F%2Fwww.webofscience.com%2Fwos%2Fwoscc%2Ffull-record%2FWOS:000188496200014","View Full Record in Web of Science")</f>
        <v>View Full Record in Web of Science</v>
      </c>
    </row>
    <row r="197" spans="1:72" x14ac:dyDescent="0.15">
      <c r="A197" t="s">
        <v>72</v>
      </c>
      <c r="B197" t="s">
        <v>3287</v>
      </c>
      <c r="C197" t="s">
        <v>74</v>
      </c>
      <c r="D197" t="s">
        <v>74</v>
      </c>
      <c r="E197" t="s">
        <v>74</v>
      </c>
      <c r="F197" t="s">
        <v>3287</v>
      </c>
      <c r="G197" t="s">
        <v>74</v>
      </c>
      <c r="H197" t="s">
        <v>74</v>
      </c>
      <c r="I197" t="s">
        <v>3288</v>
      </c>
      <c r="J197" t="s">
        <v>3289</v>
      </c>
      <c r="K197" t="s">
        <v>74</v>
      </c>
      <c r="L197" t="s">
        <v>74</v>
      </c>
      <c r="M197" t="s">
        <v>77</v>
      </c>
      <c r="N197" t="s">
        <v>78</v>
      </c>
      <c r="O197" t="s">
        <v>74</v>
      </c>
      <c r="P197" t="s">
        <v>74</v>
      </c>
      <c r="Q197" t="s">
        <v>74</v>
      </c>
      <c r="R197" t="s">
        <v>74</v>
      </c>
      <c r="S197" t="s">
        <v>74</v>
      </c>
      <c r="T197" t="s">
        <v>3290</v>
      </c>
      <c r="U197" t="s">
        <v>3291</v>
      </c>
      <c r="V197" t="s">
        <v>3292</v>
      </c>
      <c r="W197" t="s">
        <v>3293</v>
      </c>
      <c r="X197" t="s">
        <v>3294</v>
      </c>
      <c r="Y197" t="s">
        <v>3295</v>
      </c>
      <c r="Z197" t="s">
        <v>3296</v>
      </c>
      <c r="AA197" t="s">
        <v>3297</v>
      </c>
      <c r="AB197" t="s">
        <v>3298</v>
      </c>
      <c r="AC197" t="s">
        <v>74</v>
      </c>
      <c r="AD197" t="s">
        <v>74</v>
      </c>
      <c r="AE197" t="s">
        <v>74</v>
      </c>
      <c r="AF197" t="s">
        <v>74</v>
      </c>
      <c r="AG197">
        <v>70</v>
      </c>
      <c r="AH197">
        <v>152</v>
      </c>
      <c r="AI197">
        <v>162</v>
      </c>
      <c r="AJ197">
        <v>1</v>
      </c>
      <c r="AK197">
        <v>23</v>
      </c>
      <c r="AL197" t="s">
        <v>685</v>
      </c>
      <c r="AM197" t="s">
        <v>529</v>
      </c>
      <c r="AN197" t="s">
        <v>686</v>
      </c>
      <c r="AO197" t="s">
        <v>3299</v>
      </c>
      <c r="AP197" t="s">
        <v>3300</v>
      </c>
      <c r="AQ197" t="s">
        <v>74</v>
      </c>
      <c r="AR197" t="s">
        <v>3301</v>
      </c>
      <c r="AS197" t="s">
        <v>3302</v>
      </c>
      <c r="AT197" t="s">
        <v>2589</v>
      </c>
      <c r="AU197">
        <v>2004</v>
      </c>
      <c r="AV197">
        <v>50</v>
      </c>
      <c r="AW197" t="s">
        <v>710</v>
      </c>
      <c r="AX197" t="s">
        <v>74</v>
      </c>
      <c r="AY197" t="s">
        <v>74</v>
      </c>
      <c r="AZ197" t="s">
        <v>74</v>
      </c>
      <c r="BA197" t="s">
        <v>74</v>
      </c>
      <c r="BB197">
        <v>209</v>
      </c>
      <c r="BC197">
        <v>223</v>
      </c>
      <c r="BD197" t="s">
        <v>74</v>
      </c>
      <c r="BE197" t="s">
        <v>3303</v>
      </c>
      <c r="BF197" t="str">
        <f>HYPERLINK("http://dx.doi.org/10.1016/S0377-8398(03)00072-0","http://dx.doi.org/10.1016/S0377-8398(03)00072-0")</f>
        <v>http://dx.doi.org/10.1016/S0377-8398(03)00072-0</v>
      </c>
      <c r="BG197" t="s">
        <v>74</v>
      </c>
      <c r="BH197" t="s">
        <v>74</v>
      </c>
      <c r="BI197">
        <v>15</v>
      </c>
      <c r="BJ197" t="s">
        <v>1750</v>
      </c>
      <c r="BK197" t="s">
        <v>96</v>
      </c>
      <c r="BL197" t="s">
        <v>1750</v>
      </c>
      <c r="BM197" t="s">
        <v>3304</v>
      </c>
      <c r="BN197" t="s">
        <v>74</v>
      </c>
      <c r="BO197" t="s">
        <v>74</v>
      </c>
      <c r="BP197" t="s">
        <v>74</v>
      </c>
      <c r="BQ197" t="s">
        <v>74</v>
      </c>
      <c r="BR197" t="s">
        <v>99</v>
      </c>
      <c r="BS197" t="s">
        <v>3305</v>
      </c>
      <c r="BT197" t="str">
        <f>HYPERLINK("https%3A%2F%2Fwww.webofscience.com%2Fwos%2Fwoscc%2Ffull-record%2FWOS:000220008500003","View Full Record in Web of Science")</f>
        <v>View Full Record in Web of Science</v>
      </c>
    </row>
    <row r="198" spans="1:72" x14ac:dyDescent="0.15">
      <c r="A198" t="s">
        <v>72</v>
      </c>
      <c r="B198" t="s">
        <v>3306</v>
      </c>
      <c r="C198" t="s">
        <v>74</v>
      </c>
      <c r="D198" t="s">
        <v>74</v>
      </c>
      <c r="E198" t="s">
        <v>74</v>
      </c>
      <c r="F198" t="s">
        <v>3306</v>
      </c>
      <c r="G198" t="s">
        <v>74</v>
      </c>
      <c r="H198" t="s">
        <v>74</v>
      </c>
      <c r="I198" t="s">
        <v>3307</v>
      </c>
      <c r="J198" t="s">
        <v>1786</v>
      </c>
      <c r="K198" t="s">
        <v>74</v>
      </c>
      <c r="L198" t="s">
        <v>74</v>
      </c>
      <c r="M198" t="s">
        <v>77</v>
      </c>
      <c r="N198" t="s">
        <v>3308</v>
      </c>
      <c r="O198" t="s">
        <v>74</v>
      </c>
      <c r="P198" t="s">
        <v>74</v>
      </c>
      <c r="Q198" t="s">
        <v>74</v>
      </c>
      <c r="R198" t="s">
        <v>74</v>
      </c>
      <c r="S198" t="s">
        <v>74</v>
      </c>
      <c r="T198" t="s">
        <v>74</v>
      </c>
      <c r="U198" t="s">
        <v>74</v>
      </c>
      <c r="V198" t="s">
        <v>74</v>
      </c>
      <c r="W198" t="s">
        <v>74</v>
      </c>
      <c r="X198" t="s">
        <v>74</v>
      </c>
      <c r="Y198" t="s">
        <v>74</v>
      </c>
      <c r="Z198" t="s">
        <v>74</v>
      </c>
      <c r="AA198" t="s">
        <v>74</v>
      </c>
      <c r="AB198" t="s">
        <v>74</v>
      </c>
      <c r="AC198" t="s">
        <v>74</v>
      </c>
      <c r="AD198" t="s">
        <v>74</v>
      </c>
      <c r="AE198" t="s">
        <v>74</v>
      </c>
      <c r="AF198" t="s">
        <v>74</v>
      </c>
      <c r="AG198">
        <v>0</v>
      </c>
      <c r="AH198">
        <v>0</v>
      </c>
      <c r="AI198">
        <v>0</v>
      </c>
      <c r="AJ198">
        <v>0</v>
      </c>
      <c r="AK198">
        <v>0</v>
      </c>
      <c r="AL198" t="s">
        <v>213</v>
      </c>
      <c r="AM198" t="s">
        <v>214</v>
      </c>
      <c r="AN198" t="s">
        <v>215</v>
      </c>
      <c r="AO198" t="s">
        <v>1796</v>
      </c>
      <c r="AP198" t="s">
        <v>1797</v>
      </c>
      <c r="AQ198" t="s">
        <v>74</v>
      </c>
      <c r="AR198" t="s">
        <v>1798</v>
      </c>
      <c r="AS198" t="s">
        <v>1799</v>
      </c>
      <c r="AT198" t="s">
        <v>2589</v>
      </c>
      <c r="AU198">
        <v>2004</v>
      </c>
      <c r="AV198">
        <v>48</v>
      </c>
      <c r="AW198" t="s">
        <v>710</v>
      </c>
      <c r="AX198" t="s">
        <v>74</v>
      </c>
      <c r="AY198" t="s">
        <v>74</v>
      </c>
      <c r="AZ198" t="s">
        <v>74</v>
      </c>
      <c r="BA198" t="s">
        <v>74</v>
      </c>
      <c r="BB198">
        <v>206</v>
      </c>
      <c r="BC198">
        <v>207</v>
      </c>
      <c r="BD198" t="s">
        <v>74</v>
      </c>
      <c r="BE198" t="s">
        <v>74</v>
      </c>
      <c r="BF198" t="s">
        <v>74</v>
      </c>
      <c r="BG198" t="s">
        <v>74</v>
      </c>
      <c r="BH198" t="s">
        <v>74</v>
      </c>
      <c r="BI198">
        <v>2</v>
      </c>
      <c r="BJ198" t="s">
        <v>1802</v>
      </c>
      <c r="BK198" t="s">
        <v>96</v>
      </c>
      <c r="BL198" t="s">
        <v>1117</v>
      </c>
      <c r="BM198" t="s">
        <v>3309</v>
      </c>
      <c r="BN198" t="s">
        <v>74</v>
      </c>
      <c r="BO198" t="s">
        <v>74</v>
      </c>
      <c r="BP198" t="s">
        <v>74</v>
      </c>
      <c r="BQ198" t="s">
        <v>74</v>
      </c>
      <c r="BR198" t="s">
        <v>99</v>
      </c>
      <c r="BS198" t="s">
        <v>3310</v>
      </c>
      <c r="BT198" t="str">
        <f>HYPERLINK("https%3A%2F%2Fwww.webofscience.com%2Fwos%2Fwoscc%2Ffull-record%2FWOS:000220102500008","View Full Record in Web of Science")</f>
        <v>View Full Record in Web of Science</v>
      </c>
    </row>
    <row r="199" spans="1:72" x14ac:dyDescent="0.15">
      <c r="A199" t="s">
        <v>72</v>
      </c>
      <c r="B199" t="s">
        <v>3311</v>
      </c>
      <c r="C199" t="s">
        <v>74</v>
      </c>
      <c r="D199" t="s">
        <v>74</v>
      </c>
      <c r="E199" t="s">
        <v>74</v>
      </c>
      <c r="F199" t="s">
        <v>3311</v>
      </c>
      <c r="G199" t="s">
        <v>74</v>
      </c>
      <c r="H199" t="s">
        <v>74</v>
      </c>
      <c r="I199" t="s">
        <v>3312</v>
      </c>
      <c r="J199" t="s">
        <v>1786</v>
      </c>
      <c r="K199" t="s">
        <v>74</v>
      </c>
      <c r="L199" t="s">
        <v>74</v>
      </c>
      <c r="M199" t="s">
        <v>77</v>
      </c>
      <c r="N199" t="s">
        <v>78</v>
      </c>
      <c r="O199" t="s">
        <v>74</v>
      </c>
      <c r="P199" t="s">
        <v>74</v>
      </c>
      <c r="Q199" t="s">
        <v>74</v>
      </c>
      <c r="R199" t="s">
        <v>74</v>
      </c>
      <c r="S199" t="s">
        <v>74</v>
      </c>
      <c r="T199" t="s">
        <v>3313</v>
      </c>
      <c r="U199" t="s">
        <v>3314</v>
      </c>
      <c r="V199" t="s">
        <v>3315</v>
      </c>
      <c r="W199" t="s">
        <v>1965</v>
      </c>
      <c r="X199" t="s">
        <v>1966</v>
      </c>
      <c r="Y199" t="s">
        <v>3316</v>
      </c>
      <c r="Z199" t="s">
        <v>3317</v>
      </c>
      <c r="AA199" t="s">
        <v>74</v>
      </c>
      <c r="AB199" t="s">
        <v>74</v>
      </c>
      <c r="AC199" t="s">
        <v>74</v>
      </c>
      <c r="AD199" t="s">
        <v>74</v>
      </c>
      <c r="AE199" t="s">
        <v>74</v>
      </c>
      <c r="AF199" t="s">
        <v>74</v>
      </c>
      <c r="AG199">
        <v>43</v>
      </c>
      <c r="AH199">
        <v>103</v>
      </c>
      <c r="AI199">
        <v>113</v>
      </c>
      <c r="AJ199">
        <v>1</v>
      </c>
      <c r="AK199">
        <v>98</v>
      </c>
      <c r="AL199" t="s">
        <v>213</v>
      </c>
      <c r="AM199" t="s">
        <v>214</v>
      </c>
      <c r="AN199" t="s">
        <v>215</v>
      </c>
      <c r="AO199" t="s">
        <v>1796</v>
      </c>
      <c r="AP199" t="s">
        <v>1797</v>
      </c>
      <c r="AQ199" t="s">
        <v>74</v>
      </c>
      <c r="AR199" t="s">
        <v>1798</v>
      </c>
      <c r="AS199" t="s">
        <v>1799</v>
      </c>
      <c r="AT199" t="s">
        <v>2589</v>
      </c>
      <c r="AU199">
        <v>2004</v>
      </c>
      <c r="AV199">
        <v>48</v>
      </c>
      <c r="AW199" t="s">
        <v>710</v>
      </c>
      <c r="AX199" t="s">
        <v>74</v>
      </c>
      <c r="AY199" t="s">
        <v>74</v>
      </c>
      <c r="AZ199" t="s">
        <v>74</v>
      </c>
      <c r="BA199" t="s">
        <v>74</v>
      </c>
      <c r="BB199">
        <v>295</v>
      </c>
      <c r="BC199">
        <v>302</v>
      </c>
      <c r="BD199" t="s">
        <v>74</v>
      </c>
      <c r="BE199" t="s">
        <v>3318</v>
      </c>
      <c r="BF199" t="str">
        <f>HYPERLINK("http://dx.doi.org/10.1016/j.marpolbul.2003.08.004","http://dx.doi.org/10.1016/j.marpolbul.2003.08.004")</f>
        <v>http://dx.doi.org/10.1016/j.marpolbul.2003.08.004</v>
      </c>
      <c r="BG199" t="s">
        <v>74</v>
      </c>
      <c r="BH199" t="s">
        <v>74</v>
      </c>
      <c r="BI199">
        <v>8</v>
      </c>
      <c r="BJ199" t="s">
        <v>1802</v>
      </c>
      <c r="BK199" t="s">
        <v>96</v>
      </c>
      <c r="BL199" t="s">
        <v>1117</v>
      </c>
      <c r="BM199" t="s">
        <v>3309</v>
      </c>
      <c r="BN199">
        <v>14972581</v>
      </c>
      <c r="BO199" t="s">
        <v>74</v>
      </c>
      <c r="BP199" t="s">
        <v>74</v>
      </c>
      <c r="BQ199" t="s">
        <v>74</v>
      </c>
      <c r="BR199" t="s">
        <v>99</v>
      </c>
      <c r="BS199" t="s">
        <v>3319</v>
      </c>
      <c r="BT199" t="str">
        <f>HYPERLINK("https%3A%2F%2Fwww.webofscience.com%2Fwos%2Fwoscc%2Ffull-record%2FWOS:000220102500022","View Full Record in Web of Science")</f>
        <v>View Full Record in Web of Science</v>
      </c>
    </row>
    <row r="200" spans="1:72" x14ac:dyDescent="0.15">
      <c r="A200" t="s">
        <v>72</v>
      </c>
      <c r="B200" t="s">
        <v>3320</v>
      </c>
      <c r="C200" t="s">
        <v>74</v>
      </c>
      <c r="D200" t="s">
        <v>74</v>
      </c>
      <c r="E200" t="s">
        <v>74</v>
      </c>
      <c r="F200" t="s">
        <v>3320</v>
      </c>
      <c r="G200" t="s">
        <v>74</v>
      </c>
      <c r="H200" t="s">
        <v>74</v>
      </c>
      <c r="I200" t="s">
        <v>3321</v>
      </c>
      <c r="J200" t="s">
        <v>3322</v>
      </c>
      <c r="K200" t="s">
        <v>74</v>
      </c>
      <c r="L200" t="s">
        <v>74</v>
      </c>
      <c r="M200" t="s">
        <v>77</v>
      </c>
      <c r="N200" t="s">
        <v>78</v>
      </c>
      <c r="O200" t="s">
        <v>74</v>
      </c>
      <c r="P200" t="s">
        <v>74</v>
      </c>
      <c r="Q200" t="s">
        <v>74</v>
      </c>
      <c r="R200" t="s">
        <v>74</v>
      </c>
      <c r="S200" t="s">
        <v>74</v>
      </c>
      <c r="T200" t="s">
        <v>74</v>
      </c>
      <c r="U200" t="s">
        <v>3323</v>
      </c>
      <c r="V200" t="s">
        <v>3324</v>
      </c>
      <c r="W200" t="s">
        <v>3325</v>
      </c>
      <c r="X200" t="s">
        <v>3326</v>
      </c>
      <c r="Y200" t="s">
        <v>3327</v>
      </c>
      <c r="Z200" t="s">
        <v>3328</v>
      </c>
      <c r="AA200" t="s">
        <v>74</v>
      </c>
      <c r="AB200" t="s">
        <v>74</v>
      </c>
      <c r="AC200" t="s">
        <v>74</v>
      </c>
      <c r="AD200" t="s">
        <v>74</v>
      </c>
      <c r="AE200" t="s">
        <v>74</v>
      </c>
      <c r="AF200" t="s">
        <v>74</v>
      </c>
      <c r="AG200">
        <v>42</v>
      </c>
      <c r="AH200">
        <v>33</v>
      </c>
      <c r="AI200">
        <v>41</v>
      </c>
      <c r="AJ200">
        <v>0</v>
      </c>
      <c r="AK200">
        <v>1</v>
      </c>
      <c r="AL200" t="s">
        <v>297</v>
      </c>
      <c r="AM200" t="s">
        <v>298</v>
      </c>
      <c r="AN200" t="s">
        <v>299</v>
      </c>
      <c r="AO200" t="s">
        <v>3329</v>
      </c>
      <c r="AP200" t="s">
        <v>74</v>
      </c>
      <c r="AQ200" t="s">
        <v>74</v>
      </c>
      <c r="AR200" t="s">
        <v>3330</v>
      </c>
      <c r="AS200" t="s">
        <v>3331</v>
      </c>
      <c r="AT200" t="s">
        <v>2589</v>
      </c>
      <c r="AU200">
        <v>2004</v>
      </c>
      <c r="AV200">
        <v>132</v>
      </c>
      <c r="AW200">
        <v>2</v>
      </c>
      <c r="AX200" t="s">
        <v>74</v>
      </c>
      <c r="AY200" t="s">
        <v>74</v>
      </c>
      <c r="AZ200" t="s">
        <v>74</v>
      </c>
      <c r="BA200" t="s">
        <v>74</v>
      </c>
      <c r="BB200">
        <v>543</v>
      </c>
      <c r="BC200">
        <v>559</v>
      </c>
      <c r="BD200" t="s">
        <v>74</v>
      </c>
      <c r="BE200" t="s">
        <v>3332</v>
      </c>
      <c r="BF200" t="str">
        <f>HYPERLINK("http://dx.doi.org/10.1175/1520-0493(2004)132&lt;0543:IOADFA&gt;2.0.CO;2","http://dx.doi.org/10.1175/1520-0493(2004)132&lt;0543:IOADFA&gt;2.0.CO;2")</f>
        <v>http://dx.doi.org/10.1175/1520-0493(2004)132&lt;0543:IOADFA&gt;2.0.CO;2</v>
      </c>
      <c r="BG200" t="s">
        <v>74</v>
      </c>
      <c r="BH200" t="s">
        <v>74</v>
      </c>
      <c r="BI200">
        <v>17</v>
      </c>
      <c r="BJ200" t="s">
        <v>186</v>
      </c>
      <c r="BK200" t="s">
        <v>96</v>
      </c>
      <c r="BL200" t="s">
        <v>186</v>
      </c>
      <c r="BM200" t="s">
        <v>3333</v>
      </c>
      <c r="BN200" t="s">
        <v>74</v>
      </c>
      <c r="BO200" t="s">
        <v>541</v>
      </c>
      <c r="BP200" t="s">
        <v>74</v>
      </c>
      <c r="BQ200" t="s">
        <v>74</v>
      </c>
      <c r="BR200" t="s">
        <v>99</v>
      </c>
      <c r="BS200" t="s">
        <v>3334</v>
      </c>
      <c r="BT200" t="str">
        <f>HYPERLINK("https%3A%2F%2Fwww.webofscience.com%2Fwos%2Fwoscc%2Ffull-record%2FWOS:000188893900008","View Full Record in Web of Science")</f>
        <v>View Full Record in Web of Science</v>
      </c>
    </row>
    <row r="201" spans="1:72" x14ac:dyDescent="0.15">
      <c r="A201" t="s">
        <v>72</v>
      </c>
      <c r="B201" t="s">
        <v>3335</v>
      </c>
      <c r="C201" t="s">
        <v>74</v>
      </c>
      <c r="D201" t="s">
        <v>74</v>
      </c>
      <c r="E201" t="s">
        <v>74</v>
      </c>
      <c r="F201" t="s">
        <v>3335</v>
      </c>
      <c r="G201" t="s">
        <v>74</v>
      </c>
      <c r="H201" t="s">
        <v>74</v>
      </c>
      <c r="I201" t="s">
        <v>3336</v>
      </c>
      <c r="J201" t="s">
        <v>3322</v>
      </c>
      <c r="K201" t="s">
        <v>74</v>
      </c>
      <c r="L201" t="s">
        <v>74</v>
      </c>
      <c r="M201" t="s">
        <v>77</v>
      </c>
      <c r="N201" t="s">
        <v>78</v>
      </c>
      <c r="O201" t="s">
        <v>74</v>
      </c>
      <c r="P201" t="s">
        <v>74</v>
      </c>
      <c r="Q201" t="s">
        <v>74</v>
      </c>
      <c r="R201" t="s">
        <v>74</v>
      </c>
      <c r="S201" t="s">
        <v>74</v>
      </c>
      <c r="T201" t="s">
        <v>74</v>
      </c>
      <c r="U201" t="s">
        <v>3337</v>
      </c>
      <c r="V201" t="s">
        <v>3338</v>
      </c>
      <c r="W201" t="s">
        <v>3339</v>
      </c>
      <c r="X201" t="s">
        <v>3340</v>
      </c>
      <c r="Y201" t="s">
        <v>3341</v>
      </c>
      <c r="Z201" t="s">
        <v>3342</v>
      </c>
      <c r="AA201" t="s">
        <v>3343</v>
      </c>
      <c r="AB201" t="s">
        <v>3344</v>
      </c>
      <c r="AC201" t="s">
        <v>74</v>
      </c>
      <c r="AD201" t="s">
        <v>74</v>
      </c>
      <c r="AE201" t="s">
        <v>74</v>
      </c>
      <c r="AF201" t="s">
        <v>74</v>
      </c>
      <c r="AG201">
        <v>33</v>
      </c>
      <c r="AH201">
        <v>8</v>
      </c>
      <c r="AI201">
        <v>10</v>
      </c>
      <c r="AJ201">
        <v>0</v>
      </c>
      <c r="AK201">
        <v>9</v>
      </c>
      <c r="AL201" t="s">
        <v>297</v>
      </c>
      <c r="AM201" t="s">
        <v>298</v>
      </c>
      <c r="AN201" t="s">
        <v>299</v>
      </c>
      <c r="AO201" t="s">
        <v>3329</v>
      </c>
      <c r="AP201" t="s">
        <v>3345</v>
      </c>
      <c r="AQ201" t="s">
        <v>74</v>
      </c>
      <c r="AR201" t="s">
        <v>3330</v>
      </c>
      <c r="AS201" t="s">
        <v>3331</v>
      </c>
      <c r="AT201" t="s">
        <v>2589</v>
      </c>
      <c r="AU201">
        <v>2004</v>
      </c>
      <c r="AV201">
        <v>132</v>
      </c>
      <c r="AW201">
        <v>2</v>
      </c>
      <c r="AX201" t="s">
        <v>74</v>
      </c>
      <c r="AY201" t="s">
        <v>74</v>
      </c>
      <c r="AZ201" t="s">
        <v>74</v>
      </c>
      <c r="BA201" t="s">
        <v>74</v>
      </c>
      <c r="BB201">
        <v>654</v>
      </c>
      <c r="BC201">
        <v>661</v>
      </c>
      <c r="BD201" t="s">
        <v>74</v>
      </c>
      <c r="BE201" t="s">
        <v>3346</v>
      </c>
      <c r="BF201" t="str">
        <f>HYPERLINK("http://dx.doi.org/10.1175/1520-0493(2004)132&lt;0654:ASOTAS&gt;2.0.CO;2","http://dx.doi.org/10.1175/1520-0493(2004)132&lt;0654:ASOTAS&gt;2.0.CO;2")</f>
        <v>http://dx.doi.org/10.1175/1520-0493(2004)132&lt;0654:ASOTAS&gt;2.0.CO;2</v>
      </c>
      <c r="BG201" t="s">
        <v>74</v>
      </c>
      <c r="BH201" t="s">
        <v>74</v>
      </c>
      <c r="BI201">
        <v>8</v>
      </c>
      <c r="BJ201" t="s">
        <v>186</v>
      </c>
      <c r="BK201" t="s">
        <v>96</v>
      </c>
      <c r="BL201" t="s">
        <v>186</v>
      </c>
      <c r="BM201" t="s">
        <v>3333</v>
      </c>
      <c r="BN201" t="s">
        <v>74</v>
      </c>
      <c r="BO201" t="s">
        <v>306</v>
      </c>
      <c r="BP201" t="s">
        <v>74</v>
      </c>
      <c r="BQ201" t="s">
        <v>74</v>
      </c>
      <c r="BR201" t="s">
        <v>99</v>
      </c>
      <c r="BS201" t="s">
        <v>3347</v>
      </c>
      <c r="BT201" t="str">
        <f>HYPERLINK("https%3A%2F%2Fwww.webofscience.com%2Fwos%2Fwoscc%2Ffull-record%2FWOS:000188893900015","View Full Record in Web of Science")</f>
        <v>View Full Record in Web of Science</v>
      </c>
    </row>
    <row r="202" spans="1:72" x14ac:dyDescent="0.15">
      <c r="A202" t="s">
        <v>72</v>
      </c>
      <c r="B202" t="s">
        <v>3348</v>
      </c>
      <c r="C202" t="s">
        <v>74</v>
      </c>
      <c r="D202" t="s">
        <v>74</v>
      </c>
      <c r="E202" t="s">
        <v>74</v>
      </c>
      <c r="F202" t="s">
        <v>3348</v>
      </c>
      <c r="G202" t="s">
        <v>74</v>
      </c>
      <c r="H202" t="s">
        <v>74</v>
      </c>
      <c r="I202" t="s">
        <v>3349</v>
      </c>
      <c r="J202" t="s">
        <v>3350</v>
      </c>
      <c r="K202" t="s">
        <v>74</v>
      </c>
      <c r="L202" t="s">
        <v>74</v>
      </c>
      <c r="M202" t="s">
        <v>77</v>
      </c>
      <c r="N202" t="s">
        <v>78</v>
      </c>
      <c r="O202" t="s">
        <v>74</v>
      </c>
      <c r="P202" t="s">
        <v>74</v>
      </c>
      <c r="Q202" t="s">
        <v>74</v>
      </c>
      <c r="R202" t="s">
        <v>74</v>
      </c>
      <c r="S202" t="s">
        <v>74</v>
      </c>
      <c r="T202" t="s">
        <v>3351</v>
      </c>
      <c r="U202" t="s">
        <v>3352</v>
      </c>
      <c r="V202" t="s">
        <v>3353</v>
      </c>
      <c r="W202" t="s">
        <v>3354</v>
      </c>
      <c r="X202" t="s">
        <v>1966</v>
      </c>
      <c r="Y202" t="s">
        <v>3355</v>
      </c>
      <c r="Z202" t="s">
        <v>3356</v>
      </c>
      <c r="AA202" t="s">
        <v>3357</v>
      </c>
      <c r="AB202" t="s">
        <v>3358</v>
      </c>
      <c r="AC202" t="s">
        <v>74</v>
      </c>
      <c r="AD202" t="s">
        <v>74</v>
      </c>
      <c r="AE202" t="s">
        <v>74</v>
      </c>
      <c r="AF202" t="s">
        <v>74</v>
      </c>
      <c r="AG202">
        <v>65</v>
      </c>
      <c r="AH202">
        <v>94</v>
      </c>
      <c r="AI202">
        <v>107</v>
      </c>
      <c r="AJ202">
        <v>1</v>
      </c>
      <c r="AK202">
        <v>19</v>
      </c>
      <c r="AL202" t="s">
        <v>929</v>
      </c>
      <c r="AM202" t="s">
        <v>930</v>
      </c>
      <c r="AN202" t="s">
        <v>931</v>
      </c>
      <c r="AO202" t="s">
        <v>3359</v>
      </c>
      <c r="AP202" t="s">
        <v>3360</v>
      </c>
      <c r="AQ202" t="s">
        <v>74</v>
      </c>
      <c r="AR202" t="s">
        <v>3361</v>
      </c>
      <c r="AS202" t="s">
        <v>3362</v>
      </c>
      <c r="AT202" t="s">
        <v>2589</v>
      </c>
      <c r="AU202">
        <v>2004</v>
      </c>
      <c r="AV202">
        <v>54</v>
      </c>
      <c r="AW202">
        <v>1</v>
      </c>
      <c r="AX202" t="s">
        <v>74</v>
      </c>
      <c r="AY202" t="s">
        <v>74</v>
      </c>
      <c r="AZ202" t="s">
        <v>74</v>
      </c>
      <c r="BA202" t="s">
        <v>74</v>
      </c>
      <c r="BB202">
        <v>77</v>
      </c>
      <c r="BC202">
        <v>91</v>
      </c>
      <c r="BD202" t="s">
        <v>74</v>
      </c>
      <c r="BE202" t="s">
        <v>3363</v>
      </c>
      <c r="BF202" t="str">
        <f>HYPERLINK("http://dx.doi.org/10.1007/s10236-003-0082-3","http://dx.doi.org/10.1007/s10236-003-0082-3")</f>
        <v>http://dx.doi.org/10.1007/s10236-003-0082-3</v>
      </c>
      <c r="BG202" t="s">
        <v>74</v>
      </c>
      <c r="BH202" t="s">
        <v>74</v>
      </c>
      <c r="BI202">
        <v>15</v>
      </c>
      <c r="BJ202" t="s">
        <v>477</v>
      </c>
      <c r="BK202" t="s">
        <v>96</v>
      </c>
      <c r="BL202" t="s">
        <v>477</v>
      </c>
      <c r="BM202" t="s">
        <v>3364</v>
      </c>
      <c r="BN202" t="s">
        <v>74</v>
      </c>
      <c r="BO202" t="s">
        <v>74</v>
      </c>
      <c r="BP202" t="s">
        <v>74</v>
      </c>
      <c r="BQ202" t="s">
        <v>74</v>
      </c>
      <c r="BR202" t="s">
        <v>99</v>
      </c>
      <c r="BS202" t="s">
        <v>3365</v>
      </c>
      <c r="BT202" t="str">
        <f>HYPERLINK("https%3A%2F%2Fwww.webofscience.com%2Fwos%2Fwoscc%2Ffull-record%2FWOS:000223765800008","View Full Record in Web of Science")</f>
        <v>View Full Record in Web of Science</v>
      </c>
    </row>
    <row r="203" spans="1:72" x14ac:dyDescent="0.15">
      <c r="A203" t="s">
        <v>72</v>
      </c>
      <c r="B203" t="s">
        <v>3366</v>
      </c>
      <c r="C203" t="s">
        <v>74</v>
      </c>
      <c r="D203" t="s">
        <v>74</v>
      </c>
      <c r="E203" t="s">
        <v>74</v>
      </c>
      <c r="F203" t="s">
        <v>3366</v>
      </c>
      <c r="G203" t="s">
        <v>74</v>
      </c>
      <c r="H203" t="s">
        <v>74</v>
      </c>
      <c r="I203" t="s">
        <v>3367</v>
      </c>
      <c r="J203" t="s">
        <v>3368</v>
      </c>
      <c r="K203" t="s">
        <v>74</v>
      </c>
      <c r="L203" t="s">
        <v>74</v>
      </c>
      <c r="M203" t="s">
        <v>77</v>
      </c>
      <c r="N203" t="s">
        <v>78</v>
      </c>
      <c r="O203" t="s">
        <v>74</v>
      </c>
      <c r="P203" t="s">
        <v>74</v>
      </c>
      <c r="Q203" t="s">
        <v>74</v>
      </c>
      <c r="R203" t="s">
        <v>74</v>
      </c>
      <c r="S203" t="s">
        <v>74</v>
      </c>
      <c r="T203" t="s">
        <v>3369</v>
      </c>
      <c r="U203" t="s">
        <v>3370</v>
      </c>
      <c r="V203" t="s">
        <v>3371</v>
      </c>
      <c r="W203" t="s">
        <v>3372</v>
      </c>
      <c r="X203" t="s">
        <v>3373</v>
      </c>
      <c r="Y203" t="s">
        <v>3374</v>
      </c>
      <c r="Z203" t="s">
        <v>74</v>
      </c>
      <c r="AA203" t="s">
        <v>74</v>
      </c>
      <c r="AB203" t="s">
        <v>74</v>
      </c>
      <c r="AC203" t="s">
        <v>74</v>
      </c>
      <c r="AD203" t="s">
        <v>74</v>
      </c>
      <c r="AE203" t="s">
        <v>74</v>
      </c>
      <c r="AF203" t="s">
        <v>74</v>
      </c>
      <c r="AG203">
        <v>21</v>
      </c>
      <c r="AH203">
        <v>28</v>
      </c>
      <c r="AI203">
        <v>30</v>
      </c>
      <c r="AJ203">
        <v>0</v>
      </c>
      <c r="AK203">
        <v>4</v>
      </c>
      <c r="AL203" t="s">
        <v>3375</v>
      </c>
      <c r="AM203" t="s">
        <v>3376</v>
      </c>
      <c r="AN203" t="s">
        <v>3377</v>
      </c>
      <c r="AO203" t="s">
        <v>3378</v>
      </c>
      <c r="AP203" t="s">
        <v>74</v>
      </c>
      <c r="AQ203" t="s">
        <v>74</v>
      </c>
      <c r="AR203" t="s">
        <v>3379</v>
      </c>
      <c r="AS203" t="s">
        <v>3380</v>
      </c>
      <c r="AT203" t="s">
        <v>2589</v>
      </c>
      <c r="AU203">
        <v>2004</v>
      </c>
      <c r="AV203">
        <v>34</v>
      </c>
      <c r="AW203" t="s">
        <v>536</v>
      </c>
      <c r="AX203" t="s">
        <v>74</v>
      </c>
      <c r="AY203" t="s">
        <v>74</v>
      </c>
      <c r="AZ203" t="s">
        <v>74</v>
      </c>
      <c r="BA203" t="s">
        <v>74</v>
      </c>
      <c r="BB203">
        <v>3</v>
      </c>
      <c r="BC203">
        <v>11</v>
      </c>
      <c r="BD203" t="s">
        <v>74</v>
      </c>
      <c r="BE203" t="s">
        <v>3381</v>
      </c>
      <c r="BF203" t="str">
        <f>HYPERLINK("http://dx.doi.org/10.1023/B:ORIG.0000009824.38510.9a","http://dx.doi.org/10.1023/B:ORIG.0000009824.38510.9a")</f>
        <v>http://dx.doi.org/10.1023/B:ORIG.0000009824.38510.9a</v>
      </c>
      <c r="BG203" t="s">
        <v>74</v>
      </c>
      <c r="BH203" t="s">
        <v>74</v>
      </c>
      <c r="BI203">
        <v>9</v>
      </c>
      <c r="BJ203" t="s">
        <v>1667</v>
      </c>
      <c r="BK203" t="s">
        <v>96</v>
      </c>
      <c r="BL203" t="s">
        <v>1668</v>
      </c>
      <c r="BM203" t="s">
        <v>3382</v>
      </c>
      <c r="BN203">
        <v>14979640</v>
      </c>
      <c r="BO203" t="s">
        <v>74</v>
      </c>
      <c r="BP203" t="s">
        <v>74</v>
      </c>
      <c r="BQ203" t="s">
        <v>74</v>
      </c>
      <c r="BR203" t="s">
        <v>99</v>
      </c>
      <c r="BS203" t="s">
        <v>3383</v>
      </c>
      <c r="BT203" t="str">
        <f>HYPERLINK("https%3A%2F%2Fwww.webofscience.com%2Fwos%2Fwoscc%2Ffull-record%2FWOS:000187516600002","View Full Record in Web of Science")</f>
        <v>View Full Record in Web of Science</v>
      </c>
    </row>
    <row r="204" spans="1:72" x14ac:dyDescent="0.15">
      <c r="A204" t="s">
        <v>72</v>
      </c>
      <c r="B204" t="s">
        <v>3384</v>
      </c>
      <c r="C204" t="s">
        <v>74</v>
      </c>
      <c r="D204" t="s">
        <v>74</v>
      </c>
      <c r="E204" t="s">
        <v>74</v>
      </c>
      <c r="F204" t="s">
        <v>3384</v>
      </c>
      <c r="G204" t="s">
        <v>74</v>
      </c>
      <c r="H204" t="s">
        <v>74</v>
      </c>
      <c r="I204" t="s">
        <v>3385</v>
      </c>
      <c r="J204" t="s">
        <v>76</v>
      </c>
      <c r="K204" t="s">
        <v>74</v>
      </c>
      <c r="L204" t="s">
        <v>74</v>
      </c>
      <c r="M204" t="s">
        <v>77</v>
      </c>
      <c r="N204" t="s">
        <v>78</v>
      </c>
      <c r="O204" t="s">
        <v>74</v>
      </c>
      <c r="P204" t="s">
        <v>74</v>
      </c>
      <c r="Q204" t="s">
        <v>74</v>
      </c>
      <c r="R204" t="s">
        <v>74</v>
      </c>
      <c r="S204" t="s">
        <v>74</v>
      </c>
      <c r="T204" t="s">
        <v>74</v>
      </c>
      <c r="U204" t="s">
        <v>3386</v>
      </c>
      <c r="V204" t="s">
        <v>3387</v>
      </c>
      <c r="W204" t="s">
        <v>3388</v>
      </c>
      <c r="X204" t="s">
        <v>3389</v>
      </c>
      <c r="Y204" t="s">
        <v>3390</v>
      </c>
      <c r="Z204" t="s">
        <v>3391</v>
      </c>
      <c r="AA204" t="s">
        <v>3392</v>
      </c>
      <c r="AB204" t="s">
        <v>3393</v>
      </c>
      <c r="AC204" t="s">
        <v>74</v>
      </c>
      <c r="AD204" t="s">
        <v>74</v>
      </c>
      <c r="AE204" t="s">
        <v>74</v>
      </c>
      <c r="AF204" t="s">
        <v>74</v>
      </c>
      <c r="AG204">
        <v>23</v>
      </c>
      <c r="AH204">
        <v>11</v>
      </c>
      <c r="AI204">
        <v>11</v>
      </c>
      <c r="AJ204">
        <v>0</v>
      </c>
      <c r="AK204">
        <v>4</v>
      </c>
      <c r="AL204" t="s">
        <v>123</v>
      </c>
      <c r="AM204" t="s">
        <v>87</v>
      </c>
      <c r="AN204" t="s">
        <v>124</v>
      </c>
      <c r="AO204" t="s">
        <v>89</v>
      </c>
      <c r="AP204" t="s">
        <v>74</v>
      </c>
      <c r="AQ204" t="s">
        <v>74</v>
      </c>
      <c r="AR204" t="s">
        <v>91</v>
      </c>
      <c r="AS204" t="s">
        <v>92</v>
      </c>
      <c r="AT204" t="s">
        <v>2589</v>
      </c>
      <c r="AU204">
        <v>2004</v>
      </c>
      <c r="AV204">
        <v>27</v>
      </c>
      <c r="AW204">
        <v>3</v>
      </c>
      <c r="AX204" t="s">
        <v>74</v>
      </c>
      <c r="AY204" t="s">
        <v>74</v>
      </c>
      <c r="AZ204" t="s">
        <v>74</v>
      </c>
      <c r="BA204" t="s">
        <v>74</v>
      </c>
      <c r="BB204">
        <v>177</v>
      </c>
      <c r="BC204">
        <v>182</v>
      </c>
      <c r="BD204" t="s">
        <v>74</v>
      </c>
      <c r="BE204" t="s">
        <v>3394</v>
      </c>
      <c r="BF204" t="str">
        <f>HYPERLINK("http://dx.doi.org/10.1007/s00300-003-0576-y","http://dx.doi.org/10.1007/s00300-003-0576-y")</f>
        <v>http://dx.doi.org/10.1007/s00300-003-0576-y</v>
      </c>
      <c r="BG204" t="s">
        <v>74</v>
      </c>
      <c r="BH204" t="s">
        <v>74</v>
      </c>
      <c r="BI204">
        <v>6</v>
      </c>
      <c r="BJ204" t="s">
        <v>95</v>
      </c>
      <c r="BK204" t="s">
        <v>96</v>
      </c>
      <c r="BL204" t="s">
        <v>97</v>
      </c>
      <c r="BM204" t="s">
        <v>3395</v>
      </c>
      <c r="BN204" t="s">
        <v>74</v>
      </c>
      <c r="BO204" t="s">
        <v>74</v>
      </c>
      <c r="BP204" t="s">
        <v>74</v>
      </c>
      <c r="BQ204" t="s">
        <v>74</v>
      </c>
      <c r="BR204" t="s">
        <v>99</v>
      </c>
      <c r="BS204" t="s">
        <v>3396</v>
      </c>
      <c r="BT204" t="str">
        <f>HYPERLINK("https%3A%2F%2Fwww.webofscience.com%2Fwos%2Fwoscc%2Ffull-record%2FWOS:000188707300005","View Full Record in Web of Science")</f>
        <v>View Full Record in Web of Science</v>
      </c>
    </row>
    <row r="205" spans="1:72" x14ac:dyDescent="0.15">
      <c r="A205" t="s">
        <v>72</v>
      </c>
      <c r="B205" t="s">
        <v>3397</v>
      </c>
      <c r="C205" t="s">
        <v>74</v>
      </c>
      <c r="D205" t="s">
        <v>74</v>
      </c>
      <c r="E205" t="s">
        <v>74</v>
      </c>
      <c r="F205" t="s">
        <v>3397</v>
      </c>
      <c r="G205" t="s">
        <v>74</v>
      </c>
      <c r="H205" t="s">
        <v>74</v>
      </c>
      <c r="I205" t="s">
        <v>3398</v>
      </c>
      <c r="J205" t="s">
        <v>76</v>
      </c>
      <c r="K205" t="s">
        <v>74</v>
      </c>
      <c r="L205" t="s">
        <v>74</v>
      </c>
      <c r="M205" t="s">
        <v>77</v>
      </c>
      <c r="N205" t="s">
        <v>78</v>
      </c>
      <c r="O205" t="s">
        <v>74</v>
      </c>
      <c r="P205" t="s">
        <v>74</v>
      </c>
      <c r="Q205" t="s">
        <v>74</v>
      </c>
      <c r="R205" t="s">
        <v>74</v>
      </c>
      <c r="S205" t="s">
        <v>74</v>
      </c>
      <c r="T205" t="s">
        <v>74</v>
      </c>
      <c r="U205" t="s">
        <v>3399</v>
      </c>
      <c r="V205" t="s">
        <v>3400</v>
      </c>
      <c r="W205" t="s">
        <v>3401</v>
      </c>
      <c r="X205" t="s">
        <v>3402</v>
      </c>
      <c r="Y205" t="s">
        <v>3403</v>
      </c>
      <c r="Z205" t="s">
        <v>3404</v>
      </c>
      <c r="AA205" t="s">
        <v>3405</v>
      </c>
      <c r="AB205" t="s">
        <v>3406</v>
      </c>
      <c r="AC205" t="s">
        <v>74</v>
      </c>
      <c r="AD205" t="s">
        <v>74</v>
      </c>
      <c r="AE205" t="s">
        <v>74</v>
      </c>
      <c r="AF205" t="s">
        <v>74</v>
      </c>
      <c r="AG205">
        <v>42</v>
      </c>
      <c r="AH205">
        <v>28</v>
      </c>
      <c r="AI205">
        <v>29</v>
      </c>
      <c r="AJ205">
        <v>0</v>
      </c>
      <c r="AK205">
        <v>6</v>
      </c>
      <c r="AL205" t="s">
        <v>86</v>
      </c>
      <c r="AM205" t="s">
        <v>87</v>
      </c>
      <c r="AN205" t="s">
        <v>2007</v>
      </c>
      <c r="AO205" t="s">
        <v>89</v>
      </c>
      <c r="AP205" t="s">
        <v>90</v>
      </c>
      <c r="AQ205" t="s">
        <v>74</v>
      </c>
      <c r="AR205" t="s">
        <v>91</v>
      </c>
      <c r="AS205" t="s">
        <v>92</v>
      </c>
      <c r="AT205" t="s">
        <v>2589</v>
      </c>
      <c r="AU205">
        <v>2004</v>
      </c>
      <c r="AV205">
        <v>27</v>
      </c>
      <c r="AW205">
        <v>3</v>
      </c>
      <c r="AX205" t="s">
        <v>74</v>
      </c>
      <c r="AY205" t="s">
        <v>74</v>
      </c>
      <c r="AZ205" t="s">
        <v>74</v>
      </c>
      <c r="BA205" t="s">
        <v>74</v>
      </c>
      <c r="BB205">
        <v>183</v>
      </c>
      <c r="BC205">
        <v>189</v>
      </c>
      <c r="BD205" t="s">
        <v>74</v>
      </c>
      <c r="BE205" t="s">
        <v>3407</v>
      </c>
      <c r="BF205" t="str">
        <f>HYPERLINK("http://dx.doi.org/10.1007/s00300-003-0577-x","http://dx.doi.org/10.1007/s00300-003-0577-x")</f>
        <v>http://dx.doi.org/10.1007/s00300-003-0577-x</v>
      </c>
      <c r="BG205" t="s">
        <v>74</v>
      </c>
      <c r="BH205" t="s">
        <v>74</v>
      </c>
      <c r="BI205">
        <v>7</v>
      </c>
      <c r="BJ205" t="s">
        <v>95</v>
      </c>
      <c r="BK205" t="s">
        <v>96</v>
      </c>
      <c r="BL205" t="s">
        <v>97</v>
      </c>
      <c r="BM205" t="s">
        <v>3395</v>
      </c>
      <c r="BN205" t="s">
        <v>74</v>
      </c>
      <c r="BO205" t="s">
        <v>74</v>
      </c>
      <c r="BP205" t="s">
        <v>74</v>
      </c>
      <c r="BQ205" t="s">
        <v>74</v>
      </c>
      <c r="BR205" t="s">
        <v>99</v>
      </c>
      <c r="BS205" t="s">
        <v>3408</v>
      </c>
      <c r="BT205" t="str">
        <f>HYPERLINK("https%3A%2F%2Fwww.webofscience.com%2Fwos%2Fwoscc%2Ffull-record%2FWOS:000188707300006","View Full Record in Web of Science")</f>
        <v>View Full Record in Web of Science</v>
      </c>
    </row>
    <row r="206" spans="1:72" x14ac:dyDescent="0.15">
      <c r="A206" t="s">
        <v>72</v>
      </c>
      <c r="B206" t="s">
        <v>3409</v>
      </c>
      <c r="C206" t="s">
        <v>74</v>
      </c>
      <c r="D206" t="s">
        <v>74</v>
      </c>
      <c r="E206" t="s">
        <v>74</v>
      </c>
      <c r="F206" t="s">
        <v>3409</v>
      </c>
      <c r="G206" t="s">
        <v>74</v>
      </c>
      <c r="H206" t="s">
        <v>74</v>
      </c>
      <c r="I206" t="s">
        <v>3410</v>
      </c>
      <c r="J206" t="s">
        <v>76</v>
      </c>
      <c r="K206" t="s">
        <v>74</v>
      </c>
      <c r="L206" t="s">
        <v>74</v>
      </c>
      <c r="M206" t="s">
        <v>77</v>
      </c>
      <c r="N206" t="s">
        <v>78</v>
      </c>
      <c r="O206" t="s">
        <v>74</v>
      </c>
      <c r="P206" t="s">
        <v>74</v>
      </c>
      <c r="Q206" t="s">
        <v>74</v>
      </c>
      <c r="R206" t="s">
        <v>74</v>
      </c>
      <c r="S206" t="s">
        <v>74</v>
      </c>
      <c r="T206" t="s">
        <v>74</v>
      </c>
      <c r="U206" t="s">
        <v>3411</v>
      </c>
      <c r="V206" t="s">
        <v>3412</v>
      </c>
      <c r="W206" t="s">
        <v>81</v>
      </c>
      <c r="X206" t="s">
        <v>82</v>
      </c>
      <c r="Y206" t="s">
        <v>83</v>
      </c>
      <c r="Z206" t="s">
        <v>3413</v>
      </c>
      <c r="AA206" t="s">
        <v>74</v>
      </c>
      <c r="AB206" t="s">
        <v>74</v>
      </c>
      <c r="AC206" t="s">
        <v>74</v>
      </c>
      <c r="AD206" t="s">
        <v>74</v>
      </c>
      <c r="AE206" t="s">
        <v>74</v>
      </c>
      <c r="AF206" t="s">
        <v>74</v>
      </c>
      <c r="AG206">
        <v>13</v>
      </c>
      <c r="AH206">
        <v>11</v>
      </c>
      <c r="AI206">
        <v>13</v>
      </c>
      <c r="AJ206">
        <v>0</v>
      </c>
      <c r="AK206">
        <v>1</v>
      </c>
      <c r="AL206" t="s">
        <v>86</v>
      </c>
      <c r="AM206" t="s">
        <v>87</v>
      </c>
      <c r="AN206" t="s">
        <v>88</v>
      </c>
      <c r="AO206" t="s">
        <v>89</v>
      </c>
      <c r="AP206" t="s">
        <v>90</v>
      </c>
      <c r="AQ206" t="s">
        <v>74</v>
      </c>
      <c r="AR206" t="s">
        <v>91</v>
      </c>
      <c r="AS206" t="s">
        <v>92</v>
      </c>
      <c r="AT206" t="s">
        <v>2589</v>
      </c>
      <c r="AU206">
        <v>2004</v>
      </c>
      <c r="AV206">
        <v>27</v>
      </c>
      <c r="AW206">
        <v>3</v>
      </c>
      <c r="AX206" t="s">
        <v>74</v>
      </c>
      <c r="AY206" t="s">
        <v>74</v>
      </c>
      <c r="AZ206" t="s">
        <v>74</v>
      </c>
      <c r="BA206" t="s">
        <v>74</v>
      </c>
      <c r="BB206">
        <v>190</v>
      </c>
      <c r="BC206">
        <v>192</v>
      </c>
      <c r="BD206" t="s">
        <v>74</v>
      </c>
      <c r="BE206" t="s">
        <v>3414</v>
      </c>
      <c r="BF206" t="str">
        <f>HYPERLINK("http://dx.doi.org/10.1007/s00300-003-0578-9","http://dx.doi.org/10.1007/s00300-003-0578-9")</f>
        <v>http://dx.doi.org/10.1007/s00300-003-0578-9</v>
      </c>
      <c r="BG206" t="s">
        <v>74</v>
      </c>
      <c r="BH206" t="s">
        <v>74</v>
      </c>
      <c r="BI206">
        <v>3</v>
      </c>
      <c r="BJ206" t="s">
        <v>95</v>
      </c>
      <c r="BK206" t="s">
        <v>96</v>
      </c>
      <c r="BL206" t="s">
        <v>97</v>
      </c>
      <c r="BM206" t="s">
        <v>3395</v>
      </c>
      <c r="BN206" t="s">
        <v>74</v>
      </c>
      <c r="BO206" t="s">
        <v>74</v>
      </c>
      <c r="BP206" t="s">
        <v>74</v>
      </c>
      <c r="BQ206" t="s">
        <v>74</v>
      </c>
      <c r="BR206" t="s">
        <v>99</v>
      </c>
      <c r="BS206" t="s">
        <v>3415</v>
      </c>
      <c r="BT206" t="str">
        <f>HYPERLINK("https%3A%2F%2Fwww.webofscience.com%2Fwos%2Fwoscc%2Ffull-record%2FWOS:000188707300007","View Full Record in Web of Science")</f>
        <v>View Full Record in Web of Science</v>
      </c>
    </row>
    <row r="207" spans="1:72" x14ac:dyDescent="0.15">
      <c r="A207" t="s">
        <v>72</v>
      </c>
      <c r="B207" t="s">
        <v>3416</v>
      </c>
      <c r="C207" t="s">
        <v>74</v>
      </c>
      <c r="D207" t="s">
        <v>74</v>
      </c>
      <c r="E207" t="s">
        <v>74</v>
      </c>
      <c r="F207" t="s">
        <v>3416</v>
      </c>
      <c r="G207" t="s">
        <v>74</v>
      </c>
      <c r="H207" t="s">
        <v>74</v>
      </c>
      <c r="I207" t="s">
        <v>3417</v>
      </c>
      <c r="J207" t="s">
        <v>3418</v>
      </c>
      <c r="K207" t="s">
        <v>74</v>
      </c>
      <c r="L207" t="s">
        <v>74</v>
      </c>
      <c r="M207" t="s">
        <v>77</v>
      </c>
      <c r="N207" t="s">
        <v>78</v>
      </c>
      <c r="O207" t="s">
        <v>74</v>
      </c>
      <c r="P207" t="s">
        <v>74</v>
      </c>
      <c r="Q207" t="s">
        <v>74</v>
      </c>
      <c r="R207" t="s">
        <v>74</v>
      </c>
      <c r="S207" t="s">
        <v>74</v>
      </c>
      <c r="T207" t="s">
        <v>3419</v>
      </c>
      <c r="U207" t="s">
        <v>3420</v>
      </c>
      <c r="V207" t="s">
        <v>3421</v>
      </c>
      <c r="W207" t="s">
        <v>3422</v>
      </c>
      <c r="X207" t="s">
        <v>3423</v>
      </c>
      <c r="Y207" t="s">
        <v>3424</v>
      </c>
      <c r="Z207" t="s">
        <v>74</v>
      </c>
      <c r="AA207" t="s">
        <v>74</v>
      </c>
      <c r="AB207" t="s">
        <v>3425</v>
      </c>
      <c r="AC207" t="s">
        <v>74</v>
      </c>
      <c r="AD207" t="s">
        <v>74</v>
      </c>
      <c r="AE207" t="s">
        <v>74</v>
      </c>
      <c r="AF207" t="s">
        <v>74</v>
      </c>
      <c r="AG207">
        <v>21</v>
      </c>
      <c r="AH207">
        <v>3</v>
      </c>
      <c r="AI207">
        <v>3</v>
      </c>
      <c r="AJ207">
        <v>0</v>
      </c>
      <c r="AK207">
        <v>4</v>
      </c>
      <c r="AL207" t="s">
        <v>3426</v>
      </c>
      <c r="AM207" t="s">
        <v>87</v>
      </c>
      <c r="AN207" t="s">
        <v>88</v>
      </c>
      <c r="AO207" t="s">
        <v>3427</v>
      </c>
      <c r="AP207" t="s">
        <v>74</v>
      </c>
      <c r="AQ207" t="s">
        <v>74</v>
      </c>
      <c r="AR207" t="s">
        <v>3428</v>
      </c>
      <c r="AS207" t="s">
        <v>3429</v>
      </c>
      <c r="AT207" t="s">
        <v>2589</v>
      </c>
      <c r="AU207">
        <v>2004</v>
      </c>
      <c r="AV207">
        <v>15</v>
      </c>
      <c r="AW207">
        <v>1</v>
      </c>
      <c r="AX207" t="s">
        <v>74</v>
      </c>
      <c r="AY207" t="s">
        <v>74</v>
      </c>
      <c r="AZ207" t="s">
        <v>74</v>
      </c>
      <c r="BA207" t="s">
        <v>74</v>
      </c>
      <c r="BB207">
        <v>71</v>
      </c>
      <c r="BC207">
        <v>75</v>
      </c>
      <c r="BD207" t="s">
        <v>74</v>
      </c>
      <c r="BE207" t="s">
        <v>3430</v>
      </c>
      <c r="BF207" t="str">
        <f>HYPERLINK("http://dx.doi.org/10.1023/B:STUC.0000010470.96939.5d","http://dx.doi.org/10.1023/B:STUC.0000010470.96939.5d")</f>
        <v>http://dx.doi.org/10.1023/B:STUC.0000010470.96939.5d</v>
      </c>
      <c r="BG207" t="s">
        <v>74</v>
      </c>
      <c r="BH207" t="s">
        <v>74</v>
      </c>
      <c r="BI207">
        <v>5</v>
      </c>
      <c r="BJ207" t="s">
        <v>3431</v>
      </c>
      <c r="BK207" t="s">
        <v>96</v>
      </c>
      <c r="BL207" t="s">
        <v>3432</v>
      </c>
      <c r="BM207" t="s">
        <v>3433</v>
      </c>
      <c r="BN207" t="s">
        <v>74</v>
      </c>
      <c r="BO207" t="s">
        <v>74</v>
      </c>
      <c r="BP207" t="s">
        <v>74</v>
      </c>
      <c r="BQ207" t="s">
        <v>74</v>
      </c>
      <c r="BR207" t="s">
        <v>99</v>
      </c>
      <c r="BS207" t="s">
        <v>3434</v>
      </c>
      <c r="BT207" t="str">
        <f>HYPERLINK("https%3A%2F%2Fwww.webofscience.com%2Fwos%2Fwoscc%2Ffull-record%2FWOS:000187659500009","View Full Record in Web of Science")</f>
        <v>View Full Record in Web of Science</v>
      </c>
    </row>
    <row r="208" spans="1:72" x14ac:dyDescent="0.15">
      <c r="A208" t="s">
        <v>72</v>
      </c>
      <c r="B208" t="s">
        <v>3435</v>
      </c>
      <c r="C208" t="s">
        <v>74</v>
      </c>
      <c r="D208" t="s">
        <v>74</v>
      </c>
      <c r="E208" t="s">
        <v>74</v>
      </c>
      <c r="F208" t="s">
        <v>3435</v>
      </c>
      <c r="G208" t="s">
        <v>74</v>
      </c>
      <c r="H208" t="s">
        <v>74</v>
      </c>
      <c r="I208" t="s">
        <v>3436</v>
      </c>
      <c r="J208" t="s">
        <v>3418</v>
      </c>
      <c r="K208" t="s">
        <v>74</v>
      </c>
      <c r="L208" t="s">
        <v>74</v>
      </c>
      <c r="M208" t="s">
        <v>77</v>
      </c>
      <c r="N208" t="s">
        <v>78</v>
      </c>
      <c r="O208" t="s">
        <v>74</v>
      </c>
      <c r="P208" t="s">
        <v>74</v>
      </c>
      <c r="Q208" t="s">
        <v>74</v>
      </c>
      <c r="R208" t="s">
        <v>74</v>
      </c>
      <c r="S208" t="s">
        <v>74</v>
      </c>
      <c r="T208" t="s">
        <v>3437</v>
      </c>
      <c r="U208" t="s">
        <v>3438</v>
      </c>
      <c r="V208" t="s">
        <v>3439</v>
      </c>
      <c r="W208" t="s">
        <v>3422</v>
      </c>
      <c r="X208" t="s">
        <v>3423</v>
      </c>
      <c r="Y208" t="s">
        <v>3440</v>
      </c>
      <c r="Z208" t="s">
        <v>74</v>
      </c>
      <c r="AA208" t="s">
        <v>3441</v>
      </c>
      <c r="AB208" t="s">
        <v>3442</v>
      </c>
      <c r="AC208" t="s">
        <v>74</v>
      </c>
      <c r="AD208" t="s">
        <v>74</v>
      </c>
      <c r="AE208" t="s">
        <v>74</v>
      </c>
      <c r="AF208" t="s">
        <v>74</v>
      </c>
      <c r="AG208">
        <v>16</v>
      </c>
      <c r="AH208">
        <v>4</v>
      </c>
      <c r="AI208">
        <v>4</v>
      </c>
      <c r="AJ208">
        <v>0</v>
      </c>
      <c r="AK208">
        <v>1</v>
      </c>
      <c r="AL208" t="s">
        <v>3426</v>
      </c>
      <c r="AM208" t="s">
        <v>87</v>
      </c>
      <c r="AN208" t="s">
        <v>88</v>
      </c>
      <c r="AO208" t="s">
        <v>3427</v>
      </c>
      <c r="AP208" t="s">
        <v>74</v>
      </c>
      <c r="AQ208" t="s">
        <v>74</v>
      </c>
      <c r="AR208" t="s">
        <v>3428</v>
      </c>
      <c r="AS208" t="s">
        <v>3429</v>
      </c>
      <c r="AT208" t="s">
        <v>2589</v>
      </c>
      <c r="AU208">
        <v>2004</v>
      </c>
      <c r="AV208">
        <v>15</v>
      </c>
      <c r="AW208">
        <v>1</v>
      </c>
      <c r="AX208" t="s">
        <v>74</v>
      </c>
      <c r="AY208" t="s">
        <v>74</v>
      </c>
      <c r="AZ208" t="s">
        <v>74</v>
      </c>
      <c r="BA208" t="s">
        <v>74</v>
      </c>
      <c r="BB208">
        <v>77</v>
      </c>
      <c r="BC208">
        <v>81</v>
      </c>
      <c r="BD208" t="s">
        <v>74</v>
      </c>
      <c r="BE208" t="s">
        <v>3443</v>
      </c>
      <c r="BF208" t="str">
        <f>HYPERLINK("http://dx.doi.org/10.1023/B:STUC.0000010471.48863.58","http://dx.doi.org/10.1023/B:STUC.0000010471.48863.58")</f>
        <v>http://dx.doi.org/10.1023/B:STUC.0000010471.48863.58</v>
      </c>
      <c r="BG208" t="s">
        <v>74</v>
      </c>
      <c r="BH208" t="s">
        <v>74</v>
      </c>
      <c r="BI208">
        <v>5</v>
      </c>
      <c r="BJ208" t="s">
        <v>3431</v>
      </c>
      <c r="BK208" t="s">
        <v>96</v>
      </c>
      <c r="BL208" t="s">
        <v>3432</v>
      </c>
      <c r="BM208" t="s">
        <v>3433</v>
      </c>
      <c r="BN208" t="s">
        <v>74</v>
      </c>
      <c r="BO208" t="s">
        <v>74</v>
      </c>
      <c r="BP208" t="s">
        <v>74</v>
      </c>
      <c r="BQ208" t="s">
        <v>74</v>
      </c>
      <c r="BR208" t="s">
        <v>99</v>
      </c>
      <c r="BS208" t="s">
        <v>3444</v>
      </c>
      <c r="BT208" t="str">
        <f>HYPERLINK("https%3A%2F%2Fwww.webofscience.com%2Fwos%2Fwoscc%2Ffull-record%2FWOS:000187659500010","View Full Record in Web of Science")</f>
        <v>View Full Record in Web of Science</v>
      </c>
    </row>
    <row r="209" spans="1:72" x14ac:dyDescent="0.15">
      <c r="A209" t="s">
        <v>72</v>
      </c>
      <c r="B209" t="s">
        <v>3445</v>
      </c>
      <c r="C209" t="s">
        <v>74</v>
      </c>
      <c r="D209" t="s">
        <v>74</v>
      </c>
      <c r="E209" t="s">
        <v>74</v>
      </c>
      <c r="F209" t="s">
        <v>3445</v>
      </c>
      <c r="G209" t="s">
        <v>74</v>
      </c>
      <c r="H209" t="s">
        <v>74</v>
      </c>
      <c r="I209" t="s">
        <v>3446</v>
      </c>
      <c r="J209" t="s">
        <v>3447</v>
      </c>
      <c r="K209" t="s">
        <v>74</v>
      </c>
      <c r="L209" t="s">
        <v>74</v>
      </c>
      <c r="M209" t="s">
        <v>77</v>
      </c>
      <c r="N209" t="s">
        <v>78</v>
      </c>
      <c r="O209" t="s">
        <v>74</v>
      </c>
      <c r="P209" t="s">
        <v>74</v>
      </c>
      <c r="Q209" t="s">
        <v>74</v>
      </c>
      <c r="R209" t="s">
        <v>74</v>
      </c>
      <c r="S209" t="s">
        <v>74</v>
      </c>
      <c r="T209" t="s">
        <v>74</v>
      </c>
      <c r="U209" t="s">
        <v>3448</v>
      </c>
      <c r="V209" t="s">
        <v>3449</v>
      </c>
      <c r="W209" t="s">
        <v>3450</v>
      </c>
      <c r="X209" t="s">
        <v>3451</v>
      </c>
      <c r="Y209" t="s">
        <v>3452</v>
      </c>
      <c r="Z209" t="s">
        <v>74</v>
      </c>
      <c r="AA209" t="s">
        <v>74</v>
      </c>
      <c r="AB209" t="s">
        <v>74</v>
      </c>
      <c r="AC209" t="s">
        <v>74</v>
      </c>
      <c r="AD209" t="s">
        <v>74</v>
      </c>
      <c r="AE209" t="s">
        <v>74</v>
      </c>
      <c r="AF209" t="s">
        <v>74</v>
      </c>
      <c r="AG209">
        <v>40</v>
      </c>
      <c r="AH209">
        <v>8</v>
      </c>
      <c r="AI209">
        <v>8</v>
      </c>
      <c r="AJ209">
        <v>0</v>
      </c>
      <c r="AK209">
        <v>4</v>
      </c>
      <c r="AL209" t="s">
        <v>86</v>
      </c>
      <c r="AM209" t="s">
        <v>3376</v>
      </c>
      <c r="AN209" t="s">
        <v>3377</v>
      </c>
      <c r="AO209" t="s">
        <v>3453</v>
      </c>
      <c r="AP209" t="s">
        <v>3454</v>
      </c>
      <c r="AQ209" t="s">
        <v>74</v>
      </c>
      <c r="AR209" t="s">
        <v>3455</v>
      </c>
      <c r="AS209" t="s">
        <v>3456</v>
      </c>
      <c r="AT209" t="s">
        <v>2589</v>
      </c>
      <c r="AU209">
        <v>2004</v>
      </c>
      <c r="AV209">
        <v>57</v>
      </c>
      <c r="AW209">
        <v>2</v>
      </c>
      <c r="AX209" t="s">
        <v>74</v>
      </c>
      <c r="AY209" t="s">
        <v>74</v>
      </c>
      <c r="AZ209" t="s">
        <v>74</v>
      </c>
      <c r="BA209" t="s">
        <v>74</v>
      </c>
      <c r="BB209">
        <v>119</v>
      </c>
      <c r="BC209">
        <v>133</v>
      </c>
      <c r="BD209" t="s">
        <v>74</v>
      </c>
      <c r="BE209" t="s">
        <v>3457</v>
      </c>
      <c r="BF209" t="str">
        <f>HYPERLINK("http://dx.doi.org/10.1023/B:SYPA.0000013857.68680.32","http://dx.doi.org/10.1023/B:SYPA.0000013857.68680.32")</f>
        <v>http://dx.doi.org/10.1023/B:SYPA.0000013857.68680.32</v>
      </c>
      <c r="BG209" t="s">
        <v>74</v>
      </c>
      <c r="BH209" t="s">
        <v>74</v>
      </c>
      <c r="BI209">
        <v>15</v>
      </c>
      <c r="BJ209" t="s">
        <v>3458</v>
      </c>
      <c r="BK209" t="s">
        <v>96</v>
      </c>
      <c r="BL209" t="s">
        <v>3458</v>
      </c>
      <c r="BM209" t="s">
        <v>3459</v>
      </c>
      <c r="BN209">
        <v>14755174</v>
      </c>
      <c r="BO209" t="s">
        <v>74</v>
      </c>
      <c r="BP209" t="s">
        <v>74</v>
      </c>
      <c r="BQ209" t="s">
        <v>74</v>
      </c>
      <c r="BR209" t="s">
        <v>99</v>
      </c>
      <c r="BS209" t="s">
        <v>3460</v>
      </c>
      <c r="BT209" t="str">
        <f>HYPERLINK("https%3A%2F%2Fwww.webofscience.com%2Fwos%2Fwoscc%2Ffull-record%2FWOS:000188610400004","View Full Record in Web of Science")</f>
        <v>View Full Record in Web of Science</v>
      </c>
    </row>
    <row r="210" spans="1:72" x14ac:dyDescent="0.15">
      <c r="A210" t="s">
        <v>72</v>
      </c>
      <c r="B210" t="s">
        <v>3461</v>
      </c>
      <c r="C210" t="s">
        <v>74</v>
      </c>
      <c r="D210" t="s">
        <v>74</v>
      </c>
      <c r="E210" t="s">
        <v>74</v>
      </c>
      <c r="F210" t="s">
        <v>3461</v>
      </c>
      <c r="G210" t="s">
        <v>74</v>
      </c>
      <c r="H210" t="s">
        <v>74</v>
      </c>
      <c r="I210" t="s">
        <v>3462</v>
      </c>
      <c r="J210" t="s">
        <v>3463</v>
      </c>
      <c r="K210" t="s">
        <v>74</v>
      </c>
      <c r="L210" t="s">
        <v>74</v>
      </c>
      <c r="M210" t="s">
        <v>77</v>
      </c>
      <c r="N210" t="s">
        <v>78</v>
      </c>
      <c r="O210" t="s">
        <v>74</v>
      </c>
      <c r="P210" t="s">
        <v>74</v>
      </c>
      <c r="Q210" t="s">
        <v>74</v>
      </c>
      <c r="R210" t="s">
        <v>74</v>
      </c>
      <c r="S210" t="s">
        <v>74</v>
      </c>
      <c r="T210" t="s">
        <v>74</v>
      </c>
      <c r="U210" t="s">
        <v>3464</v>
      </c>
      <c r="V210" t="s">
        <v>3465</v>
      </c>
      <c r="W210" t="s">
        <v>3466</v>
      </c>
      <c r="X210" t="s">
        <v>3467</v>
      </c>
      <c r="Y210" t="s">
        <v>3468</v>
      </c>
      <c r="Z210" t="s">
        <v>3469</v>
      </c>
      <c r="AA210" t="s">
        <v>74</v>
      </c>
      <c r="AB210" t="s">
        <v>74</v>
      </c>
      <c r="AC210" t="s">
        <v>74</v>
      </c>
      <c r="AD210" t="s">
        <v>74</v>
      </c>
      <c r="AE210" t="s">
        <v>74</v>
      </c>
      <c r="AF210" t="s">
        <v>74</v>
      </c>
      <c r="AG210">
        <v>26</v>
      </c>
      <c r="AH210">
        <v>5</v>
      </c>
      <c r="AI210">
        <v>6</v>
      </c>
      <c r="AJ210">
        <v>0</v>
      </c>
      <c r="AK210">
        <v>4</v>
      </c>
      <c r="AL210" t="s">
        <v>3470</v>
      </c>
      <c r="AM210" t="s">
        <v>3471</v>
      </c>
      <c r="AN210" t="s">
        <v>3472</v>
      </c>
      <c r="AO210" t="s">
        <v>3473</v>
      </c>
      <c r="AP210" t="s">
        <v>74</v>
      </c>
      <c r="AQ210" t="s">
        <v>74</v>
      </c>
      <c r="AR210" t="s">
        <v>3474</v>
      </c>
      <c r="AS210" t="s">
        <v>3475</v>
      </c>
      <c r="AT210" t="s">
        <v>2589</v>
      </c>
      <c r="AU210">
        <v>2004</v>
      </c>
      <c r="AV210">
        <v>56</v>
      </c>
      <c r="AW210">
        <v>1</v>
      </c>
      <c r="AX210" t="s">
        <v>74</v>
      </c>
      <c r="AY210" t="s">
        <v>74</v>
      </c>
      <c r="AZ210" t="s">
        <v>74</v>
      </c>
      <c r="BA210" t="s">
        <v>74</v>
      </c>
      <c r="BB210">
        <v>85</v>
      </c>
      <c r="BC210">
        <v>92</v>
      </c>
      <c r="BD210" t="s">
        <v>74</v>
      </c>
      <c r="BE210" t="s">
        <v>3476</v>
      </c>
      <c r="BF210" t="str">
        <f>HYPERLINK("http://dx.doi.org/10.1111/j.1600-0889.2004.00089.x","http://dx.doi.org/10.1111/j.1600-0889.2004.00089.x")</f>
        <v>http://dx.doi.org/10.1111/j.1600-0889.2004.00089.x</v>
      </c>
      <c r="BG210" t="s">
        <v>74</v>
      </c>
      <c r="BH210" t="s">
        <v>74</v>
      </c>
      <c r="BI210">
        <v>8</v>
      </c>
      <c r="BJ210" t="s">
        <v>186</v>
      </c>
      <c r="BK210" t="s">
        <v>96</v>
      </c>
      <c r="BL210" t="s">
        <v>186</v>
      </c>
      <c r="BM210" t="s">
        <v>3477</v>
      </c>
      <c r="BN210" t="s">
        <v>74</v>
      </c>
      <c r="BO210" t="s">
        <v>306</v>
      </c>
      <c r="BP210" t="s">
        <v>74</v>
      </c>
      <c r="BQ210" t="s">
        <v>74</v>
      </c>
      <c r="BR210" t="s">
        <v>99</v>
      </c>
      <c r="BS210" t="s">
        <v>3478</v>
      </c>
      <c r="BT210" t="str">
        <f>HYPERLINK("https%3A%2F%2Fwww.webofscience.com%2Fwos%2Fwoscc%2Ffull-record%2FWOS:000189085300006","View Full Record in Web of Science")</f>
        <v>View Full Record in Web of Science</v>
      </c>
    </row>
    <row r="211" spans="1:72" x14ac:dyDescent="0.15">
      <c r="A211" t="s">
        <v>72</v>
      </c>
      <c r="B211" t="s">
        <v>3479</v>
      </c>
      <c r="C211" t="s">
        <v>74</v>
      </c>
      <c r="D211" t="s">
        <v>74</v>
      </c>
      <c r="E211" t="s">
        <v>74</v>
      </c>
      <c r="F211" t="s">
        <v>3479</v>
      </c>
      <c r="G211" t="s">
        <v>74</v>
      </c>
      <c r="H211" t="s">
        <v>74</v>
      </c>
      <c r="I211" t="s">
        <v>3480</v>
      </c>
      <c r="J211" t="s">
        <v>460</v>
      </c>
      <c r="K211" t="s">
        <v>74</v>
      </c>
      <c r="L211" t="s">
        <v>74</v>
      </c>
      <c r="M211" t="s">
        <v>77</v>
      </c>
      <c r="N211" t="s">
        <v>78</v>
      </c>
      <c r="O211" t="s">
        <v>74</v>
      </c>
      <c r="P211" t="s">
        <v>74</v>
      </c>
      <c r="Q211" t="s">
        <v>74</v>
      </c>
      <c r="R211" t="s">
        <v>74</v>
      </c>
      <c r="S211" t="s">
        <v>74</v>
      </c>
      <c r="T211" t="s">
        <v>3481</v>
      </c>
      <c r="U211" t="s">
        <v>3482</v>
      </c>
      <c r="V211" t="s">
        <v>3483</v>
      </c>
      <c r="W211" t="s">
        <v>647</v>
      </c>
      <c r="X211" t="s">
        <v>82</v>
      </c>
      <c r="Y211" t="s">
        <v>1932</v>
      </c>
      <c r="Z211" t="s">
        <v>3484</v>
      </c>
      <c r="AA211" t="s">
        <v>3485</v>
      </c>
      <c r="AB211" t="s">
        <v>3486</v>
      </c>
      <c r="AC211" t="s">
        <v>74</v>
      </c>
      <c r="AD211" t="s">
        <v>74</v>
      </c>
      <c r="AE211" t="s">
        <v>74</v>
      </c>
      <c r="AF211" t="s">
        <v>74</v>
      </c>
      <c r="AG211">
        <v>59</v>
      </c>
      <c r="AH211">
        <v>46</v>
      </c>
      <c r="AI211">
        <v>48</v>
      </c>
      <c r="AJ211">
        <v>0</v>
      </c>
      <c r="AK211">
        <v>14</v>
      </c>
      <c r="AL211" t="s">
        <v>363</v>
      </c>
      <c r="AM211" t="s">
        <v>364</v>
      </c>
      <c r="AN211" t="s">
        <v>365</v>
      </c>
      <c r="AO211" t="s">
        <v>470</v>
      </c>
      <c r="AP211" t="s">
        <v>471</v>
      </c>
      <c r="AQ211" t="s">
        <v>74</v>
      </c>
      <c r="AR211" t="s">
        <v>472</v>
      </c>
      <c r="AS211" t="s">
        <v>473</v>
      </c>
      <c r="AT211" t="s">
        <v>3487</v>
      </c>
      <c r="AU211">
        <v>2004</v>
      </c>
      <c r="AV211">
        <v>109</v>
      </c>
      <c r="AW211" t="s">
        <v>3488</v>
      </c>
      <c r="AX211" t="s">
        <v>74</v>
      </c>
      <c r="AY211" t="s">
        <v>74</v>
      </c>
      <c r="AZ211" t="s">
        <v>74</v>
      </c>
      <c r="BA211" t="s">
        <v>74</v>
      </c>
      <c r="BB211" t="s">
        <v>74</v>
      </c>
      <c r="BC211" t="s">
        <v>74</v>
      </c>
      <c r="BD211" t="s">
        <v>3489</v>
      </c>
      <c r="BE211" t="s">
        <v>3490</v>
      </c>
      <c r="BF211" t="str">
        <f>HYPERLINK("http://dx.doi.org/10.1029/2002JC001522","http://dx.doi.org/10.1029/2002JC001522")</f>
        <v>http://dx.doi.org/10.1029/2002JC001522</v>
      </c>
      <c r="BG211" t="s">
        <v>74</v>
      </c>
      <c r="BH211" t="s">
        <v>74</v>
      </c>
      <c r="BI211">
        <v>10</v>
      </c>
      <c r="BJ211" t="s">
        <v>477</v>
      </c>
      <c r="BK211" t="s">
        <v>96</v>
      </c>
      <c r="BL211" t="s">
        <v>477</v>
      </c>
      <c r="BM211" t="s">
        <v>3491</v>
      </c>
      <c r="BN211" t="s">
        <v>74</v>
      </c>
      <c r="BO211" t="s">
        <v>541</v>
      </c>
      <c r="BP211" t="s">
        <v>74</v>
      </c>
      <c r="BQ211" t="s">
        <v>74</v>
      </c>
      <c r="BR211" t="s">
        <v>99</v>
      </c>
      <c r="BS211" t="s">
        <v>3492</v>
      </c>
      <c r="BT211" t="str">
        <f>HYPERLINK("https%3A%2F%2Fwww.webofscience.com%2Fwos%2Fwoscc%2Ffull-record%2FWOS:000188868100002","View Full Record in Web of Science")</f>
        <v>View Full Record in Web of Science</v>
      </c>
    </row>
    <row r="212" spans="1:72" x14ac:dyDescent="0.15">
      <c r="A212" t="s">
        <v>72</v>
      </c>
      <c r="B212" t="s">
        <v>3493</v>
      </c>
      <c r="C212" t="s">
        <v>74</v>
      </c>
      <c r="D212" t="s">
        <v>74</v>
      </c>
      <c r="E212" t="s">
        <v>74</v>
      </c>
      <c r="F212" t="s">
        <v>3493</v>
      </c>
      <c r="G212" t="s">
        <v>74</v>
      </c>
      <c r="H212" t="s">
        <v>74</v>
      </c>
      <c r="I212" t="s">
        <v>3494</v>
      </c>
      <c r="J212" t="s">
        <v>2128</v>
      </c>
      <c r="K212" t="s">
        <v>74</v>
      </c>
      <c r="L212" t="s">
        <v>74</v>
      </c>
      <c r="M212" t="s">
        <v>77</v>
      </c>
      <c r="N212" t="s">
        <v>78</v>
      </c>
      <c r="O212" t="s">
        <v>74</v>
      </c>
      <c r="P212" t="s">
        <v>74</v>
      </c>
      <c r="Q212" t="s">
        <v>74</v>
      </c>
      <c r="R212" t="s">
        <v>74</v>
      </c>
      <c r="S212" t="s">
        <v>74</v>
      </c>
      <c r="T212" t="s">
        <v>3495</v>
      </c>
      <c r="U212" t="s">
        <v>3496</v>
      </c>
      <c r="V212" t="s">
        <v>3497</v>
      </c>
      <c r="W212" t="s">
        <v>3498</v>
      </c>
      <c r="X212" t="s">
        <v>3499</v>
      </c>
      <c r="Y212" t="s">
        <v>3500</v>
      </c>
      <c r="Z212" t="s">
        <v>74</v>
      </c>
      <c r="AA212" t="s">
        <v>3501</v>
      </c>
      <c r="AB212" t="s">
        <v>3502</v>
      </c>
      <c r="AC212" t="s">
        <v>74</v>
      </c>
      <c r="AD212" t="s">
        <v>74</v>
      </c>
      <c r="AE212" t="s">
        <v>74</v>
      </c>
      <c r="AF212" t="s">
        <v>74</v>
      </c>
      <c r="AG212">
        <v>55</v>
      </c>
      <c r="AH212">
        <v>46</v>
      </c>
      <c r="AI212">
        <v>48</v>
      </c>
      <c r="AJ212">
        <v>1</v>
      </c>
      <c r="AK212">
        <v>19</v>
      </c>
      <c r="AL212" t="s">
        <v>685</v>
      </c>
      <c r="AM212" t="s">
        <v>529</v>
      </c>
      <c r="AN212" t="s">
        <v>686</v>
      </c>
      <c r="AO212" t="s">
        <v>2138</v>
      </c>
      <c r="AP212" t="s">
        <v>2139</v>
      </c>
      <c r="AQ212" t="s">
        <v>74</v>
      </c>
      <c r="AR212" t="s">
        <v>2140</v>
      </c>
      <c r="AS212" t="s">
        <v>2141</v>
      </c>
      <c r="AT212" t="s">
        <v>3503</v>
      </c>
      <c r="AU212">
        <v>2004</v>
      </c>
      <c r="AV212">
        <v>218</v>
      </c>
      <c r="AW212" t="s">
        <v>536</v>
      </c>
      <c r="AX212" t="s">
        <v>74</v>
      </c>
      <c r="AY212" t="s">
        <v>74</v>
      </c>
      <c r="AZ212" t="s">
        <v>74</v>
      </c>
      <c r="BA212" t="s">
        <v>74</v>
      </c>
      <c r="BB212">
        <v>179</v>
      </c>
      <c r="BC212">
        <v>195</v>
      </c>
      <c r="BD212" t="s">
        <v>74</v>
      </c>
      <c r="BE212" t="s">
        <v>3504</v>
      </c>
      <c r="BF212" t="str">
        <f>HYPERLINK("http://dx.doi.org/10.1016/S0012-821X(03)00636-8","http://dx.doi.org/10.1016/S0012-821X(03)00636-8")</f>
        <v>http://dx.doi.org/10.1016/S0012-821X(03)00636-8</v>
      </c>
      <c r="BG212" t="s">
        <v>74</v>
      </c>
      <c r="BH212" t="s">
        <v>74</v>
      </c>
      <c r="BI212">
        <v>17</v>
      </c>
      <c r="BJ212" t="s">
        <v>262</v>
      </c>
      <c r="BK212" t="s">
        <v>96</v>
      </c>
      <c r="BL212" t="s">
        <v>262</v>
      </c>
      <c r="BM212" t="s">
        <v>3505</v>
      </c>
      <c r="BN212" t="s">
        <v>74</v>
      </c>
      <c r="BO212" t="s">
        <v>74</v>
      </c>
      <c r="BP212" t="s">
        <v>74</v>
      </c>
      <c r="BQ212" t="s">
        <v>74</v>
      </c>
      <c r="BR212" t="s">
        <v>99</v>
      </c>
      <c r="BS212" t="s">
        <v>3506</v>
      </c>
      <c r="BT212" t="str">
        <f>HYPERLINK("https%3A%2F%2Fwww.webofscience.com%2Fwos%2Fwoscc%2Ffull-record%2FWOS:000188606600013","View Full Record in Web of Science")</f>
        <v>View Full Record in Web of Science</v>
      </c>
    </row>
    <row r="213" spans="1:72" x14ac:dyDescent="0.15">
      <c r="A213" t="s">
        <v>72</v>
      </c>
      <c r="B213" t="s">
        <v>3507</v>
      </c>
      <c r="C213" t="s">
        <v>74</v>
      </c>
      <c r="D213" t="s">
        <v>74</v>
      </c>
      <c r="E213" t="s">
        <v>74</v>
      </c>
      <c r="F213" t="s">
        <v>3507</v>
      </c>
      <c r="G213" t="s">
        <v>74</v>
      </c>
      <c r="H213" t="s">
        <v>74</v>
      </c>
      <c r="I213" t="s">
        <v>3508</v>
      </c>
      <c r="J213" t="s">
        <v>460</v>
      </c>
      <c r="K213" t="s">
        <v>74</v>
      </c>
      <c r="L213" t="s">
        <v>74</v>
      </c>
      <c r="M213" t="s">
        <v>77</v>
      </c>
      <c r="N213" t="s">
        <v>78</v>
      </c>
      <c r="O213" t="s">
        <v>74</v>
      </c>
      <c r="P213" t="s">
        <v>74</v>
      </c>
      <c r="Q213" t="s">
        <v>74</v>
      </c>
      <c r="R213" t="s">
        <v>74</v>
      </c>
      <c r="S213" t="s">
        <v>74</v>
      </c>
      <c r="T213" t="s">
        <v>3509</v>
      </c>
      <c r="U213" t="s">
        <v>3510</v>
      </c>
      <c r="V213" t="s">
        <v>3511</v>
      </c>
      <c r="W213" t="s">
        <v>3512</v>
      </c>
      <c r="X213" t="s">
        <v>3513</v>
      </c>
      <c r="Y213" t="s">
        <v>3514</v>
      </c>
      <c r="Z213" t="s">
        <v>3515</v>
      </c>
      <c r="AA213" t="s">
        <v>650</v>
      </c>
      <c r="AB213" t="s">
        <v>3516</v>
      </c>
      <c r="AC213" t="s">
        <v>74</v>
      </c>
      <c r="AD213" t="s">
        <v>74</v>
      </c>
      <c r="AE213" t="s">
        <v>74</v>
      </c>
      <c r="AF213" t="s">
        <v>74</v>
      </c>
      <c r="AG213">
        <v>29</v>
      </c>
      <c r="AH213">
        <v>20</v>
      </c>
      <c r="AI213">
        <v>23</v>
      </c>
      <c r="AJ213">
        <v>0</v>
      </c>
      <c r="AK213">
        <v>5</v>
      </c>
      <c r="AL213" t="s">
        <v>363</v>
      </c>
      <c r="AM213" t="s">
        <v>364</v>
      </c>
      <c r="AN213" t="s">
        <v>365</v>
      </c>
      <c r="AO213" t="s">
        <v>470</v>
      </c>
      <c r="AP213" t="s">
        <v>471</v>
      </c>
      <c r="AQ213" t="s">
        <v>74</v>
      </c>
      <c r="AR213" t="s">
        <v>472</v>
      </c>
      <c r="AS213" t="s">
        <v>473</v>
      </c>
      <c r="AT213" t="s">
        <v>3503</v>
      </c>
      <c r="AU213">
        <v>2004</v>
      </c>
      <c r="AV213">
        <v>109</v>
      </c>
      <c r="AW213" t="s">
        <v>3488</v>
      </c>
      <c r="AX213" t="s">
        <v>74</v>
      </c>
      <c r="AY213" t="s">
        <v>74</v>
      </c>
      <c r="AZ213" t="s">
        <v>74</v>
      </c>
      <c r="BA213" t="s">
        <v>74</v>
      </c>
      <c r="BB213" t="s">
        <v>74</v>
      </c>
      <c r="BC213" t="s">
        <v>74</v>
      </c>
      <c r="BD213" t="s">
        <v>3517</v>
      </c>
      <c r="BE213" t="s">
        <v>3518</v>
      </c>
      <c r="BF213" t="str">
        <f>HYPERLINK("http://dx.doi.org/10.1029/2001JC001086","http://dx.doi.org/10.1029/2001JC001086")</f>
        <v>http://dx.doi.org/10.1029/2001JC001086</v>
      </c>
      <c r="BG213" t="s">
        <v>74</v>
      </c>
      <c r="BH213" t="s">
        <v>74</v>
      </c>
      <c r="BI213">
        <v>12</v>
      </c>
      <c r="BJ213" t="s">
        <v>477</v>
      </c>
      <c r="BK213" t="s">
        <v>96</v>
      </c>
      <c r="BL213" t="s">
        <v>477</v>
      </c>
      <c r="BM213" t="s">
        <v>3519</v>
      </c>
      <c r="BN213" t="s">
        <v>74</v>
      </c>
      <c r="BO213" t="s">
        <v>541</v>
      </c>
      <c r="BP213" t="s">
        <v>74</v>
      </c>
      <c r="BQ213" t="s">
        <v>74</v>
      </c>
      <c r="BR213" t="s">
        <v>99</v>
      </c>
      <c r="BS213" t="s">
        <v>3520</v>
      </c>
      <c r="BT213" t="str">
        <f>HYPERLINK("https%3A%2F%2Fwww.webofscience.com%2Fwos%2Fwoscc%2Ffull-record%2FWOS:000188868000001","View Full Record in Web of Science")</f>
        <v>View Full Record in Web of Science</v>
      </c>
    </row>
    <row r="214" spans="1:72" x14ac:dyDescent="0.15">
      <c r="A214" t="s">
        <v>72</v>
      </c>
      <c r="B214" t="s">
        <v>3521</v>
      </c>
      <c r="C214" t="s">
        <v>74</v>
      </c>
      <c r="D214" t="s">
        <v>74</v>
      </c>
      <c r="E214" t="s">
        <v>74</v>
      </c>
      <c r="F214" t="s">
        <v>3521</v>
      </c>
      <c r="G214" t="s">
        <v>74</v>
      </c>
      <c r="H214" t="s">
        <v>74</v>
      </c>
      <c r="I214" t="s">
        <v>3522</v>
      </c>
      <c r="J214" t="s">
        <v>545</v>
      </c>
      <c r="K214" t="s">
        <v>74</v>
      </c>
      <c r="L214" t="s">
        <v>74</v>
      </c>
      <c r="M214" t="s">
        <v>77</v>
      </c>
      <c r="N214" t="s">
        <v>78</v>
      </c>
      <c r="O214" t="s">
        <v>74</v>
      </c>
      <c r="P214" t="s">
        <v>74</v>
      </c>
      <c r="Q214" t="s">
        <v>74</v>
      </c>
      <c r="R214" t="s">
        <v>74</v>
      </c>
      <c r="S214" t="s">
        <v>74</v>
      </c>
      <c r="T214" t="s">
        <v>74</v>
      </c>
      <c r="U214" t="s">
        <v>3523</v>
      </c>
      <c r="V214" t="s">
        <v>3524</v>
      </c>
      <c r="W214" t="s">
        <v>3525</v>
      </c>
      <c r="X214" t="s">
        <v>3526</v>
      </c>
      <c r="Y214" t="s">
        <v>3527</v>
      </c>
      <c r="Z214" t="s">
        <v>3528</v>
      </c>
      <c r="AA214" t="s">
        <v>3529</v>
      </c>
      <c r="AB214" t="s">
        <v>74</v>
      </c>
      <c r="AC214" t="s">
        <v>74</v>
      </c>
      <c r="AD214" t="s">
        <v>74</v>
      </c>
      <c r="AE214" t="s">
        <v>74</v>
      </c>
      <c r="AF214" t="s">
        <v>74</v>
      </c>
      <c r="AG214">
        <v>21</v>
      </c>
      <c r="AH214">
        <v>27</v>
      </c>
      <c r="AI214">
        <v>31</v>
      </c>
      <c r="AJ214">
        <v>0</v>
      </c>
      <c r="AK214">
        <v>7</v>
      </c>
      <c r="AL214" t="s">
        <v>363</v>
      </c>
      <c r="AM214" t="s">
        <v>364</v>
      </c>
      <c r="AN214" t="s">
        <v>365</v>
      </c>
      <c r="AO214" t="s">
        <v>553</v>
      </c>
      <c r="AP214" t="s">
        <v>554</v>
      </c>
      <c r="AQ214" t="s">
        <v>74</v>
      </c>
      <c r="AR214" t="s">
        <v>555</v>
      </c>
      <c r="AS214" t="s">
        <v>556</v>
      </c>
      <c r="AT214" t="s">
        <v>3530</v>
      </c>
      <c r="AU214">
        <v>2004</v>
      </c>
      <c r="AV214">
        <v>31</v>
      </c>
      <c r="AW214">
        <v>2</v>
      </c>
      <c r="AX214" t="s">
        <v>74</v>
      </c>
      <c r="AY214" t="s">
        <v>74</v>
      </c>
      <c r="AZ214" t="s">
        <v>74</v>
      </c>
      <c r="BA214" t="s">
        <v>74</v>
      </c>
      <c r="BB214" t="s">
        <v>74</v>
      </c>
      <c r="BC214" t="s">
        <v>74</v>
      </c>
      <c r="BD214" t="s">
        <v>3531</v>
      </c>
      <c r="BE214" t="s">
        <v>3532</v>
      </c>
      <c r="BF214" t="str">
        <f>HYPERLINK("http://dx.doi.org/10.1029/2003GL018638","http://dx.doi.org/10.1029/2003GL018638")</f>
        <v>http://dx.doi.org/10.1029/2003GL018638</v>
      </c>
      <c r="BG214" t="s">
        <v>74</v>
      </c>
      <c r="BH214" t="s">
        <v>74</v>
      </c>
      <c r="BI214">
        <v>5</v>
      </c>
      <c r="BJ214" t="s">
        <v>560</v>
      </c>
      <c r="BK214" t="s">
        <v>96</v>
      </c>
      <c r="BL214" t="s">
        <v>561</v>
      </c>
      <c r="BM214" t="s">
        <v>3533</v>
      </c>
      <c r="BN214" t="s">
        <v>74</v>
      </c>
      <c r="BO214" t="s">
        <v>541</v>
      </c>
      <c r="BP214" t="s">
        <v>74</v>
      </c>
      <c r="BQ214" t="s">
        <v>74</v>
      </c>
      <c r="BR214" t="s">
        <v>99</v>
      </c>
      <c r="BS214" t="s">
        <v>3534</v>
      </c>
      <c r="BT214" t="str">
        <f>HYPERLINK("https%3A%2F%2Fwww.webofscience.com%2Fwos%2Fwoscc%2Ffull-record%2FWOS:000188866100001","View Full Record in Web of Science")</f>
        <v>View Full Record in Web of Science</v>
      </c>
    </row>
    <row r="215" spans="1:72" x14ac:dyDescent="0.15">
      <c r="A215" t="s">
        <v>72</v>
      </c>
      <c r="B215" t="s">
        <v>3535</v>
      </c>
      <c r="C215" t="s">
        <v>74</v>
      </c>
      <c r="D215" t="s">
        <v>74</v>
      </c>
      <c r="E215" t="s">
        <v>74</v>
      </c>
      <c r="F215" t="s">
        <v>3535</v>
      </c>
      <c r="G215" t="s">
        <v>74</v>
      </c>
      <c r="H215" t="s">
        <v>74</v>
      </c>
      <c r="I215" t="s">
        <v>3536</v>
      </c>
      <c r="J215" t="s">
        <v>378</v>
      </c>
      <c r="K215" t="s">
        <v>74</v>
      </c>
      <c r="L215" t="s">
        <v>74</v>
      </c>
      <c r="M215" t="s">
        <v>77</v>
      </c>
      <c r="N215" t="s">
        <v>78</v>
      </c>
      <c r="O215" t="s">
        <v>74</v>
      </c>
      <c r="P215" t="s">
        <v>74</v>
      </c>
      <c r="Q215" t="s">
        <v>74</v>
      </c>
      <c r="R215" t="s">
        <v>74</v>
      </c>
      <c r="S215" t="s">
        <v>74</v>
      </c>
      <c r="T215" t="s">
        <v>3537</v>
      </c>
      <c r="U215" t="s">
        <v>3538</v>
      </c>
      <c r="V215" t="s">
        <v>3539</v>
      </c>
      <c r="W215" t="s">
        <v>3540</v>
      </c>
      <c r="X215" t="s">
        <v>3541</v>
      </c>
      <c r="Y215" t="s">
        <v>3542</v>
      </c>
      <c r="Z215" t="s">
        <v>3543</v>
      </c>
      <c r="AA215" t="s">
        <v>74</v>
      </c>
      <c r="AB215" t="s">
        <v>74</v>
      </c>
      <c r="AC215" t="s">
        <v>74</v>
      </c>
      <c r="AD215" t="s">
        <v>74</v>
      </c>
      <c r="AE215" t="s">
        <v>74</v>
      </c>
      <c r="AF215" t="s">
        <v>74</v>
      </c>
      <c r="AG215">
        <v>23</v>
      </c>
      <c r="AH215">
        <v>19</v>
      </c>
      <c r="AI215">
        <v>19</v>
      </c>
      <c r="AJ215">
        <v>0</v>
      </c>
      <c r="AK215">
        <v>0</v>
      </c>
      <c r="AL215" t="s">
        <v>363</v>
      </c>
      <c r="AM215" t="s">
        <v>364</v>
      </c>
      <c r="AN215" t="s">
        <v>365</v>
      </c>
      <c r="AO215" t="s">
        <v>388</v>
      </c>
      <c r="AP215" t="s">
        <v>389</v>
      </c>
      <c r="AQ215" t="s">
        <v>74</v>
      </c>
      <c r="AR215" t="s">
        <v>390</v>
      </c>
      <c r="AS215" t="s">
        <v>391</v>
      </c>
      <c r="AT215" t="s">
        <v>3544</v>
      </c>
      <c r="AU215">
        <v>2004</v>
      </c>
      <c r="AV215">
        <v>109</v>
      </c>
      <c r="AW215" t="s">
        <v>3545</v>
      </c>
      <c r="AX215" t="s">
        <v>74</v>
      </c>
      <c r="AY215" t="s">
        <v>74</v>
      </c>
      <c r="AZ215" t="s">
        <v>74</v>
      </c>
      <c r="BA215" t="s">
        <v>74</v>
      </c>
      <c r="BB215" t="s">
        <v>74</v>
      </c>
      <c r="BC215" t="s">
        <v>74</v>
      </c>
      <c r="BD215" t="s">
        <v>3546</v>
      </c>
      <c r="BE215" t="s">
        <v>3547</v>
      </c>
      <c r="BF215" t="str">
        <f>HYPERLINK("http://dx.doi.org/10.1029/2003JA010081","http://dx.doi.org/10.1029/2003JA010081")</f>
        <v>http://dx.doi.org/10.1029/2003JA010081</v>
      </c>
      <c r="BG215" t="s">
        <v>74</v>
      </c>
      <c r="BH215" t="s">
        <v>74</v>
      </c>
      <c r="BI215">
        <v>13</v>
      </c>
      <c r="BJ215" t="s">
        <v>395</v>
      </c>
      <c r="BK215" t="s">
        <v>96</v>
      </c>
      <c r="BL215" t="s">
        <v>395</v>
      </c>
      <c r="BM215" t="s">
        <v>3548</v>
      </c>
      <c r="BN215" t="s">
        <v>74</v>
      </c>
      <c r="BO215" t="s">
        <v>541</v>
      </c>
      <c r="BP215" t="s">
        <v>74</v>
      </c>
      <c r="BQ215" t="s">
        <v>74</v>
      </c>
      <c r="BR215" t="s">
        <v>99</v>
      </c>
      <c r="BS215" t="s">
        <v>3549</v>
      </c>
      <c r="BT215" t="str">
        <f>HYPERLINK("https%3A%2F%2Fwww.webofscience.com%2Fwos%2Fwoscc%2Ffull-record%2FWOS:000188870000005","View Full Record in Web of Science")</f>
        <v>View Full Record in Web of Science</v>
      </c>
    </row>
    <row r="216" spans="1:72" x14ac:dyDescent="0.15">
      <c r="A216" t="s">
        <v>72</v>
      </c>
      <c r="B216" t="s">
        <v>3550</v>
      </c>
      <c r="C216" t="s">
        <v>74</v>
      </c>
      <c r="D216" t="s">
        <v>74</v>
      </c>
      <c r="E216" t="s">
        <v>74</v>
      </c>
      <c r="F216" t="s">
        <v>3550</v>
      </c>
      <c r="G216" t="s">
        <v>74</v>
      </c>
      <c r="H216" t="s">
        <v>74</v>
      </c>
      <c r="I216" t="s">
        <v>3551</v>
      </c>
      <c r="J216" t="s">
        <v>419</v>
      </c>
      <c r="K216" t="s">
        <v>74</v>
      </c>
      <c r="L216" t="s">
        <v>74</v>
      </c>
      <c r="M216" t="s">
        <v>77</v>
      </c>
      <c r="N216" t="s">
        <v>78</v>
      </c>
      <c r="O216" t="s">
        <v>74</v>
      </c>
      <c r="P216" t="s">
        <v>74</v>
      </c>
      <c r="Q216" t="s">
        <v>74</v>
      </c>
      <c r="R216" t="s">
        <v>74</v>
      </c>
      <c r="S216" t="s">
        <v>74</v>
      </c>
      <c r="T216" t="s">
        <v>3552</v>
      </c>
      <c r="U216" t="s">
        <v>3553</v>
      </c>
      <c r="V216" t="s">
        <v>3554</v>
      </c>
      <c r="W216" t="s">
        <v>3555</v>
      </c>
      <c r="X216" t="s">
        <v>3556</v>
      </c>
      <c r="Y216" t="s">
        <v>3557</v>
      </c>
      <c r="Z216" t="s">
        <v>3558</v>
      </c>
      <c r="AA216" t="s">
        <v>3559</v>
      </c>
      <c r="AB216" t="s">
        <v>3560</v>
      </c>
      <c r="AC216" t="s">
        <v>74</v>
      </c>
      <c r="AD216" t="s">
        <v>74</v>
      </c>
      <c r="AE216" t="s">
        <v>74</v>
      </c>
      <c r="AF216" t="s">
        <v>74</v>
      </c>
      <c r="AG216">
        <v>36</v>
      </c>
      <c r="AH216">
        <v>13</v>
      </c>
      <c r="AI216">
        <v>14</v>
      </c>
      <c r="AJ216">
        <v>0</v>
      </c>
      <c r="AK216">
        <v>6</v>
      </c>
      <c r="AL216" t="s">
        <v>363</v>
      </c>
      <c r="AM216" t="s">
        <v>364</v>
      </c>
      <c r="AN216" t="s">
        <v>365</v>
      </c>
      <c r="AO216" t="s">
        <v>429</v>
      </c>
      <c r="AP216" t="s">
        <v>430</v>
      </c>
      <c r="AQ216" t="s">
        <v>74</v>
      </c>
      <c r="AR216" t="s">
        <v>431</v>
      </c>
      <c r="AS216" t="s">
        <v>432</v>
      </c>
      <c r="AT216" t="s">
        <v>3561</v>
      </c>
      <c r="AU216">
        <v>2004</v>
      </c>
      <c r="AV216">
        <v>109</v>
      </c>
      <c r="AW216" t="s">
        <v>3562</v>
      </c>
      <c r="AX216" t="s">
        <v>74</v>
      </c>
      <c r="AY216" t="s">
        <v>74</v>
      </c>
      <c r="AZ216" t="s">
        <v>74</v>
      </c>
      <c r="BA216" t="s">
        <v>74</v>
      </c>
      <c r="BB216" t="s">
        <v>74</v>
      </c>
      <c r="BC216" t="s">
        <v>74</v>
      </c>
      <c r="BD216" t="s">
        <v>3563</v>
      </c>
      <c r="BE216" t="s">
        <v>3564</v>
      </c>
      <c r="BF216" t="str">
        <f>HYPERLINK("http://dx.doi.org/10.1029/2003JD003950","http://dx.doi.org/10.1029/2003JD003950")</f>
        <v>http://dx.doi.org/10.1029/2003JD003950</v>
      </c>
      <c r="BG216" t="s">
        <v>74</v>
      </c>
      <c r="BH216" t="s">
        <v>74</v>
      </c>
      <c r="BI216">
        <v>8</v>
      </c>
      <c r="BJ216" t="s">
        <v>186</v>
      </c>
      <c r="BK216" t="s">
        <v>96</v>
      </c>
      <c r="BL216" t="s">
        <v>186</v>
      </c>
      <c r="BM216" t="s">
        <v>3565</v>
      </c>
      <c r="BN216" t="s">
        <v>74</v>
      </c>
      <c r="BO216" t="s">
        <v>1752</v>
      </c>
      <c r="BP216" t="s">
        <v>74</v>
      </c>
      <c r="BQ216" t="s">
        <v>74</v>
      </c>
      <c r="BR216" t="s">
        <v>99</v>
      </c>
      <c r="BS216" t="s">
        <v>3566</v>
      </c>
      <c r="BT216" t="str">
        <f>HYPERLINK("https%3A%2F%2Fwww.webofscience.com%2Fwos%2Fwoscc%2Ffull-record%2FWOS:000188866900007","View Full Record in Web of Science")</f>
        <v>View Full Record in Web of Science</v>
      </c>
    </row>
    <row r="217" spans="1:72" x14ac:dyDescent="0.15">
      <c r="A217" t="s">
        <v>72</v>
      </c>
      <c r="B217" t="s">
        <v>3567</v>
      </c>
      <c r="C217" t="s">
        <v>74</v>
      </c>
      <c r="D217" t="s">
        <v>74</v>
      </c>
      <c r="E217" t="s">
        <v>74</v>
      </c>
      <c r="F217" t="s">
        <v>3567</v>
      </c>
      <c r="G217" t="s">
        <v>74</v>
      </c>
      <c r="H217" t="s">
        <v>74</v>
      </c>
      <c r="I217" t="s">
        <v>3568</v>
      </c>
      <c r="J217" t="s">
        <v>3569</v>
      </c>
      <c r="K217" t="s">
        <v>74</v>
      </c>
      <c r="L217" t="s">
        <v>74</v>
      </c>
      <c r="M217" t="s">
        <v>77</v>
      </c>
      <c r="N217" t="s">
        <v>78</v>
      </c>
      <c r="O217" t="s">
        <v>74</v>
      </c>
      <c r="P217" t="s">
        <v>74</v>
      </c>
      <c r="Q217" t="s">
        <v>74</v>
      </c>
      <c r="R217" t="s">
        <v>74</v>
      </c>
      <c r="S217" t="s">
        <v>74</v>
      </c>
      <c r="T217" t="s">
        <v>3570</v>
      </c>
      <c r="U217" t="s">
        <v>3571</v>
      </c>
      <c r="V217" t="s">
        <v>3572</v>
      </c>
      <c r="W217" t="s">
        <v>3573</v>
      </c>
      <c r="X217" t="s">
        <v>3574</v>
      </c>
      <c r="Y217" t="s">
        <v>3575</v>
      </c>
      <c r="Z217" t="s">
        <v>3576</v>
      </c>
      <c r="AA217" t="s">
        <v>3577</v>
      </c>
      <c r="AB217" t="s">
        <v>3578</v>
      </c>
      <c r="AC217" t="s">
        <v>74</v>
      </c>
      <c r="AD217" t="s">
        <v>74</v>
      </c>
      <c r="AE217" t="s">
        <v>74</v>
      </c>
      <c r="AF217" t="s">
        <v>74</v>
      </c>
      <c r="AG217">
        <v>25</v>
      </c>
      <c r="AH217">
        <v>18</v>
      </c>
      <c r="AI217">
        <v>19</v>
      </c>
      <c r="AJ217">
        <v>0</v>
      </c>
      <c r="AK217">
        <v>6</v>
      </c>
      <c r="AL217" t="s">
        <v>213</v>
      </c>
      <c r="AM217" t="s">
        <v>214</v>
      </c>
      <c r="AN217" t="s">
        <v>215</v>
      </c>
      <c r="AO217" t="s">
        <v>3579</v>
      </c>
      <c r="AP217" t="s">
        <v>74</v>
      </c>
      <c r="AQ217" t="s">
        <v>74</v>
      </c>
      <c r="AR217" t="s">
        <v>3569</v>
      </c>
      <c r="AS217" t="s">
        <v>3580</v>
      </c>
      <c r="AT217" t="s">
        <v>3581</v>
      </c>
      <c r="AU217">
        <v>2004</v>
      </c>
      <c r="AV217">
        <v>60</v>
      </c>
      <c r="AW217">
        <v>5</v>
      </c>
      <c r="AX217" t="s">
        <v>74</v>
      </c>
      <c r="AY217" t="s">
        <v>74</v>
      </c>
      <c r="AZ217" t="s">
        <v>74</v>
      </c>
      <c r="BA217" t="s">
        <v>74</v>
      </c>
      <c r="BB217">
        <v>1073</v>
      </c>
      <c r="BC217">
        <v>1078</v>
      </c>
      <c r="BD217" t="s">
        <v>74</v>
      </c>
      <c r="BE217" t="s">
        <v>3582</v>
      </c>
      <c r="BF217" t="str">
        <f>HYPERLINK("http://dx.doi.org/10.1016/j.tet.2003.11.077","http://dx.doi.org/10.1016/j.tet.2003.11.077")</f>
        <v>http://dx.doi.org/10.1016/j.tet.2003.11.077</v>
      </c>
      <c r="BG217" t="s">
        <v>74</v>
      </c>
      <c r="BH217" t="s">
        <v>74</v>
      </c>
      <c r="BI217">
        <v>6</v>
      </c>
      <c r="BJ217" t="s">
        <v>3583</v>
      </c>
      <c r="BK217" t="s">
        <v>242</v>
      </c>
      <c r="BL217" t="s">
        <v>2113</v>
      </c>
      <c r="BM217" t="s">
        <v>3584</v>
      </c>
      <c r="BN217" t="s">
        <v>74</v>
      </c>
      <c r="BO217" t="s">
        <v>74</v>
      </c>
      <c r="BP217" t="s">
        <v>74</v>
      </c>
      <c r="BQ217" t="s">
        <v>74</v>
      </c>
      <c r="BR217" t="s">
        <v>99</v>
      </c>
      <c r="BS217" t="s">
        <v>3585</v>
      </c>
      <c r="BT217" t="str">
        <f>HYPERLINK("https%3A%2F%2Fwww.webofscience.com%2Fwos%2Fwoscc%2Ffull-record%2FWOS:000188536800005","View Full Record in Web of Science")</f>
        <v>View Full Record in Web of Science</v>
      </c>
    </row>
    <row r="218" spans="1:72" x14ac:dyDescent="0.15">
      <c r="A218" t="s">
        <v>72</v>
      </c>
      <c r="B218" t="s">
        <v>3586</v>
      </c>
      <c r="C218" t="s">
        <v>74</v>
      </c>
      <c r="D218" t="s">
        <v>74</v>
      </c>
      <c r="E218" t="s">
        <v>74</v>
      </c>
      <c r="F218" t="s">
        <v>3586</v>
      </c>
      <c r="G218" t="s">
        <v>74</v>
      </c>
      <c r="H218" t="s">
        <v>74</v>
      </c>
      <c r="I218" t="s">
        <v>3587</v>
      </c>
      <c r="J218" t="s">
        <v>441</v>
      </c>
      <c r="K218" t="s">
        <v>74</v>
      </c>
      <c r="L218" t="s">
        <v>74</v>
      </c>
      <c r="M218" t="s">
        <v>77</v>
      </c>
      <c r="N218" t="s">
        <v>78</v>
      </c>
      <c r="O218" t="s">
        <v>74</v>
      </c>
      <c r="P218" t="s">
        <v>74</v>
      </c>
      <c r="Q218" t="s">
        <v>74</v>
      </c>
      <c r="R218" t="s">
        <v>74</v>
      </c>
      <c r="S218" t="s">
        <v>74</v>
      </c>
      <c r="T218" t="s">
        <v>74</v>
      </c>
      <c r="U218" t="s">
        <v>3588</v>
      </c>
      <c r="V218" t="s">
        <v>3589</v>
      </c>
      <c r="W218" t="s">
        <v>3590</v>
      </c>
      <c r="X218" t="s">
        <v>3591</v>
      </c>
      <c r="Y218" t="s">
        <v>3592</v>
      </c>
      <c r="Z218" t="s">
        <v>3593</v>
      </c>
      <c r="AA218" t="s">
        <v>74</v>
      </c>
      <c r="AB218" t="s">
        <v>3594</v>
      </c>
      <c r="AC218" t="s">
        <v>74</v>
      </c>
      <c r="AD218" t="s">
        <v>74</v>
      </c>
      <c r="AE218" t="s">
        <v>74</v>
      </c>
      <c r="AF218" t="s">
        <v>74</v>
      </c>
      <c r="AG218">
        <v>26</v>
      </c>
      <c r="AH218">
        <v>31</v>
      </c>
      <c r="AI218">
        <v>33</v>
      </c>
      <c r="AJ218">
        <v>0</v>
      </c>
      <c r="AK218">
        <v>4</v>
      </c>
      <c r="AL218" t="s">
        <v>3595</v>
      </c>
      <c r="AM218" t="s">
        <v>448</v>
      </c>
      <c r="AN218" t="s">
        <v>3596</v>
      </c>
      <c r="AO218" t="s">
        <v>450</v>
      </c>
      <c r="AP218" t="s">
        <v>74</v>
      </c>
      <c r="AQ218" t="s">
        <v>74</v>
      </c>
      <c r="AR218" t="s">
        <v>451</v>
      </c>
      <c r="AS218" t="s">
        <v>452</v>
      </c>
      <c r="AT218" t="s">
        <v>3597</v>
      </c>
      <c r="AU218">
        <v>2004</v>
      </c>
      <c r="AV218">
        <v>86</v>
      </c>
      <c r="AW218">
        <v>2</v>
      </c>
      <c r="AX218" t="s">
        <v>74</v>
      </c>
      <c r="AY218" t="s">
        <v>74</v>
      </c>
      <c r="AZ218" t="s">
        <v>74</v>
      </c>
      <c r="BA218" t="s">
        <v>74</v>
      </c>
      <c r="BB218">
        <v>296</v>
      </c>
      <c r="BC218">
        <v>304</v>
      </c>
      <c r="BD218" t="s">
        <v>74</v>
      </c>
      <c r="BE218" t="s">
        <v>74</v>
      </c>
      <c r="BF218" t="s">
        <v>74</v>
      </c>
      <c r="BG218" t="s">
        <v>74</v>
      </c>
      <c r="BH218" t="s">
        <v>74</v>
      </c>
      <c r="BI218">
        <v>9</v>
      </c>
      <c r="BJ218" t="s">
        <v>454</v>
      </c>
      <c r="BK218" t="s">
        <v>96</v>
      </c>
      <c r="BL218" t="s">
        <v>455</v>
      </c>
      <c r="BM218" t="s">
        <v>3598</v>
      </c>
      <c r="BN218" t="s">
        <v>74</v>
      </c>
      <c r="BO218" t="s">
        <v>74</v>
      </c>
      <c r="BP218" t="s">
        <v>74</v>
      </c>
      <c r="BQ218" t="s">
        <v>74</v>
      </c>
      <c r="BR218" t="s">
        <v>99</v>
      </c>
      <c r="BS218" t="s">
        <v>3599</v>
      </c>
      <c r="BT218" t="str">
        <f>HYPERLINK("https%3A%2F%2Fwww.webofscience.com%2Fwos%2Fwoscc%2Ffull-record%2FWOS:000188747100022","View Full Record in Web of Science")</f>
        <v>View Full Record in Web of Science</v>
      </c>
    </row>
    <row r="219" spans="1:72" x14ac:dyDescent="0.15">
      <c r="A219" t="s">
        <v>72</v>
      </c>
      <c r="B219" t="s">
        <v>3306</v>
      </c>
      <c r="C219" t="s">
        <v>74</v>
      </c>
      <c r="D219" t="s">
        <v>74</v>
      </c>
      <c r="E219" t="s">
        <v>74</v>
      </c>
      <c r="F219" t="s">
        <v>3306</v>
      </c>
      <c r="G219" t="s">
        <v>74</v>
      </c>
      <c r="H219" t="s">
        <v>74</v>
      </c>
      <c r="I219" t="s">
        <v>3600</v>
      </c>
      <c r="J219" t="s">
        <v>3601</v>
      </c>
      <c r="K219" t="s">
        <v>74</v>
      </c>
      <c r="L219" t="s">
        <v>74</v>
      </c>
      <c r="M219" t="s">
        <v>77</v>
      </c>
      <c r="N219" t="s">
        <v>3308</v>
      </c>
      <c r="O219" t="s">
        <v>74</v>
      </c>
      <c r="P219" t="s">
        <v>74</v>
      </c>
      <c r="Q219" t="s">
        <v>74</v>
      </c>
      <c r="R219" t="s">
        <v>74</v>
      </c>
      <c r="S219" t="s">
        <v>74</v>
      </c>
      <c r="T219" t="s">
        <v>74</v>
      </c>
      <c r="U219" t="s">
        <v>74</v>
      </c>
      <c r="V219" t="s">
        <v>74</v>
      </c>
      <c r="W219" t="s">
        <v>74</v>
      </c>
      <c r="X219" t="s">
        <v>74</v>
      </c>
      <c r="Y219" t="s">
        <v>74</v>
      </c>
      <c r="Z219" t="s">
        <v>74</v>
      </c>
      <c r="AA219" t="s">
        <v>74</v>
      </c>
      <c r="AB219" t="s">
        <v>74</v>
      </c>
      <c r="AC219" t="s">
        <v>74</v>
      </c>
      <c r="AD219" t="s">
        <v>74</v>
      </c>
      <c r="AE219" t="s">
        <v>74</v>
      </c>
      <c r="AF219" t="s">
        <v>74</v>
      </c>
      <c r="AG219">
        <v>0</v>
      </c>
      <c r="AH219">
        <v>0</v>
      </c>
      <c r="AI219">
        <v>0</v>
      </c>
      <c r="AJ219">
        <v>0</v>
      </c>
      <c r="AK219">
        <v>0</v>
      </c>
      <c r="AL219" t="s">
        <v>3602</v>
      </c>
      <c r="AM219" t="s">
        <v>3603</v>
      </c>
      <c r="AN219" t="s">
        <v>3604</v>
      </c>
      <c r="AO219" t="s">
        <v>3605</v>
      </c>
      <c r="AP219" t="s">
        <v>74</v>
      </c>
      <c r="AQ219" t="s">
        <v>74</v>
      </c>
      <c r="AR219" t="s">
        <v>3606</v>
      </c>
      <c r="AS219" t="s">
        <v>3607</v>
      </c>
      <c r="AT219" t="s">
        <v>3608</v>
      </c>
      <c r="AU219">
        <v>2004</v>
      </c>
      <c r="AV219">
        <v>181</v>
      </c>
      <c r="AW219">
        <v>2431</v>
      </c>
      <c r="AX219" t="s">
        <v>74</v>
      </c>
      <c r="AY219" t="s">
        <v>74</v>
      </c>
      <c r="AZ219" t="s">
        <v>74</v>
      </c>
      <c r="BA219" t="s">
        <v>74</v>
      </c>
      <c r="BB219">
        <v>5</v>
      </c>
      <c r="BC219">
        <v>5</v>
      </c>
      <c r="BD219" t="s">
        <v>74</v>
      </c>
      <c r="BE219" t="s">
        <v>74</v>
      </c>
      <c r="BF219" t="s">
        <v>74</v>
      </c>
      <c r="BG219" t="s">
        <v>74</v>
      </c>
      <c r="BH219" t="s">
        <v>74</v>
      </c>
      <c r="BI219">
        <v>1</v>
      </c>
      <c r="BJ219" t="s">
        <v>454</v>
      </c>
      <c r="BK219" t="s">
        <v>96</v>
      </c>
      <c r="BL219" t="s">
        <v>455</v>
      </c>
      <c r="BM219" t="s">
        <v>3609</v>
      </c>
      <c r="BN219" t="s">
        <v>74</v>
      </c>
      <c r="BO219" t="s">
        <v>74</v>
      </c>
      <c r="BP219" t="s">
        <v>74</v>
      </c>
      <c r="BQ219" t="s">
        <v>74</v>
      </c>
      <c r="BR219" t="s">
        <v>99</v>
      </c>
      <c r="BS219" t="s">
        <v>3610</v>
      </c>
      <c r="BT219" t="str">
        <f>HYPERLINK("https%3A%2F%2Fwww.webofscience.com%2Fwos%2Fwoscc%2Ffull-record%2FWOS:000188317800007","View Full Record in Web of Science")</f>
        <v>View Full Record in Web of Science</v>
      </c>
    </row>
    <row r="220" spans="1:72" x14ac:dyDescent="0.15">
      <c r="A220" t="s">
        <v>72</v>
      </c>
      <c r="B220" t="s">
        <v>3611</v>
      </c>
      <c r="C220" t="s">
        <v>74</v>
      </c>
      <c r="D220" t="s">
        <v>74</v>
      </c>
      <c r="E220" t="s">
        <v>74</v>
      </c>
      <c r="F220" t="s">
        <v>3611</v>
      </c>
      <c r="G220" t="s">
        <v>74</v>
      </c>
      <c r="H220" t="s">
        <v>74</v>
      </c>
      <c r="I220" t="s">
        <v>3612</v>
      </c>
      <c r="J220" t="s">
        <v>3613</v>
      </c>
      <c r="K220" t="s">
        <v>74</v>
      </c>
      <c r="L220" t="s">
        <v>74</v>
      </c>
      <c r="M220" t="s">
        <v>77</v>
      </c>
      <c r="N220" t="s">
        <v>78</v>
      </c>
      <c r="O220" t="s">
        <v>74</v>
      </c>
      <c r="P220" t="s">
        <v>74</v>
      </c>
      <c r="Q220" t="s">
        <v>74</v>
      </c>
      <c r="R220" t="s">
        <v>74</v>
      </c>
      <c r="S220" t="s">
        <v>74</v>
      </c>
      <c r="T220" t="s">
        <v>3614</v>
      </c>
      <c r="U220" t="s">
        <v>3615</v>
      </c>
      <c r="V220" t="s">
        <v>3616</v>
      </c>
      <c r="W220" t="s">
        <v>3617</v>
      </c>
      <c r="X220" t="s">
        <v>3618</v>
      </c>
      <c r="Y220" t="s">
        <v>869</v>
      </c>
      <c r="Z220" t="s">
        <v>3619</v>
      </c>
      <c r="AA220" t="s">
        <v>3620</v>
      </c>
      <c r="AB220" t="s">
        <v>3621</v>
      </c>
      <c r="AC220" t="s">
        <v>74</v>
      </c>
      <c r="AD220" t="s">
        <v>74</v>
      </c>
      <c r="AE220" t="s">
        <v>74</v>
      </c>
      <c r="AF220" t="s">
        <v>74</v>
      </c>
      <c r="AG220">
        <v>38</v>
      </c>
      <c r="AH220">
        <v>68</v>
      </c>
      <c r="AI220">
        <v>72</v>
      </c>
      <c r="AJ220">
        <v>1</v>
      </c>
      <c r="AK220">
        <v>14</v>
      </c>
      <c r="AL220" t="s">
        <v>3622</v>
      </c>
      <c r="AM220" t="s">
        <v>3623</v>
      </c>
      <c r="AN220" t="s">
        <v>3624</v>
      </c>
      <c r="AO220" t="s">
        <v>3625</v>
      </c>
      <c r="AP220" t="s">
        <v>3626</v>
      </c>
      <c r="AQ220" t="s">
        <v>74</v>
      </c>
      <c r="AR220" t="s">
        <v>3627</v>
      </c>
      <c r="AS220" t="s">
        <v>3628</v>
      </c>
      <c r="AT220" t="s">
        <v>3629</v>
      </c>
      <c r="AU220">
        <v>2004</v>
      </c>
      <c r="AV220">
        <v>25</v>
      </c>
      <c r="AW220">
        <v>3</v>
      </c>
      <c r="AX220" t="s">
        <v>74</v>
      </c>
      <c r="AY220" t="s">
        <v>74</v>
      </c>
      <c r="AZ220" t="s">
        <v>74</v>
      </c>
      <c r="BA220" t="s">
        <v>74</v>
      </c>
      <c r="BB220">
        <v>217</v>
      </c>
      <c r="BC220">
        <v>227</v>
      </c>
      <c r="BD220" t="s">
        <v>74</v>
      </c>
      <c r="BE220" t="s">
        <v>3630</v>
      </c>
      <c r="BF220" t="str">
        <f>HYPERLINK("http://dx.doi.org/10.3354/cr025217","http://dx.doi.org/10.3354/cr025217")</f>
        <v>http://dx.doi.org/10.3354/cr025217</v>
      </c>
      <c r="BG220" t="s">
        <v>74</v>
      </c>
      <c r="BH220" t="s">
        <v>74</v>
      </c>
      <c r="BI220">
        <v>11</v>
      </c>
      <c r="BJ220" t="s">
        <v>3631</v>
      </c>
      <c r="BK220" t="s">
        <v>96</v>
      </c>
      <c r="BL220" t="s">
        <v>3632</v>
      </c>
      <c r="BM220" t="s">
        <v>3633</v>
      </c>
      <c r="BN220" t="s">
        <v>74</v>
      </c>
      <c r="BO220" t="s">
        <v>541</v>
      </c>
      <c r="BP220" t="s">
        <v>74</v>
      </c>
      <c r="BQ220" t="s">
        <v>74</v>
      </c>
      <c r="BR220" t="s">
        <v>99</v>
      </c>
      <c r="BS220" t="s">
        <v>3634</v>
      </c>
      <c r="BT220" t="str">
        <f>HYPERLINK("https%3A%2F%2Fwww.webofscience.com%2Fwos%2Fwoscc%2Ffull-record%2FWOS:000220194800004","View Full Record in Web of Science")</f>
        <v>View Full Record in Web of Science</v>
      </c>
    </row>
    <row r="221" spans="1:72" x14ac:dyDescent="0.15">
      <c r="A221" t="s">
        <v>72</v>
      </c>
      <c r="B221" t="s">
        <v>3635</v>
      </c>
      <c r="C221" t="s">
        <v>74</v>
      </c>
      <c r="D221" t="s">
        <v>74</v>
      </c>
      <c r="E221" t="s">
        <v>74</v>
      </c>
      <c r="F221" t="s">
        <v>3635</v>
      </c>
      <c r="G221" t="s">
        <v>74</v>
      </c>
      <c r="H221" t="s">
        <v>74</v>
      </c>
      <c r="I221" t="s">
        <v>3636</v>
      </c>
      <c r="J221" t="s">
        <v>545</v>
      </c>
      <c r="K221" t="s">
        <v>74</v>
      </c>
      <c r="L221" t="s">
        <v>74</v>
      </c>
      <c r="M221" t="s">
        <v>77</v>
      </c>
      <c r="N221" t="s">
        <v>78</v>
      </c>
      <c r="O221" t="s">
        <v>74</v>
      </c>
      <c r="P221" t="s">
        <v>74</v>
      </c>
      <c r="Q221" t="s">
        <v>74</v>
      </c>
      <c r="R221" t="s">
        <v>74</v>
      </c>
      <c r="S221" t="s">
        <v>74</v>
      </c>
      <c r="T221" t="s">
        <v>74</v>
      </c>
      <c r="U221" t="s">
        <v>3637</v>
      </c>
      <c r="V221" t="s">
        <v>3638</v>
      </c>
      <c r="W221" t="s">
        <v>3639</v>
      </c>
      <c r="X221" t="s">
        <v>3640</v>
      </c>
      <c r="Y221" t="s">
        <v>3641</v>
      </c>
      <c r="Z221" t="s">
        <v>3642</v>
      </c>
      <c r="AA221" t="s">
        <v>3643</v>
      </c>
      <c r="AB221" t="s">
        <v>3644</v>
      </c>
      <c r="AC221" t="s">
        <v>74</v>
      </c>
      <c r="AD221" t="s">
        <v>74</v>
      </c>
      <c r="AE221" t="s">
        <v>74</v>
      </c>
      <c r="AF221" t="s">
        <v>74</v>
      </c>
      <c r="AG221">
        <v>25</v>
      </c>
      <c r="AH221">
        <v>25</v>
      </c>
      <c r="AI221">
        <v>26</v>
      </c>
      <c r="AJ221">
        <v>0</v>
      </c>
      <c r="AK221">
        <v>13</v>
      </c>
      <c r="AL221" t="s">
        <v>363</v>
      </c>
      <c r="AM221" t="s">
        <v>364</v>
      </c>
      <c r="AN221" t="s">
        <v>365</v>
      </c>
      <c r="AO221" t="s">
        <v>553</v>
      </c>
      <c r="AP221" t="s">
        <v>554</v>
      </c>
      <c r="AQ221" t="s">
        <v>74</v>
      </c>
      <c r="AR221" t="s">
        <v>555</v>
      </c>
      <c r="AS221" t="s">
        <v>556</v>
      </c>
      <c r="AT221" t="s">
        <v>3645</v>
      </c>
      <c r="AU221">
        <v>2004</v>
      </c>
      <c r="AV221">
        <v>31</v>
      </c>
      <c r="AW221">
        <v>2</v>
      </c>
      <c r="AX221" t="s">
        <v>74</v>
      </c>
      <c r="AY221" t="s">
        <v>74</v>
      </c>
      <c r="AZ221" t="s">
        <v>74</v>
      </c>
      <c r="BA221" t="s">
        <v>74</v>
      </c>
      <c r="BB221" t="s">
        <v>74</v>
      </c>
      <c r="BC221" t="s">
        <v>74</v>
      </c>
      <c r="BD221" t="s">
        <v>3646</v>
      </c>
      <c r="BE221" t="s">
        <v>3647</v>
      </c>
      <c r="BF221" t="str">
        <f>HYPERLINK("http://dx.doi.org/10.1029/2003GL018750","http://dx.doi.org/10.1029/2003GL018750")</f>
        <v>http://dx.doi.org/10.1029/2003GL018750</v>
      </c>
      <c r="BG221" t="s">
        <v>74</v>
      </c>
      <c r="BH221" t="s">
        <v>74</v>
      </c>
      <c r="BI221">
        <v>4</v>
      </c>
      <c r="BJ221" t="s">
        <v>560</v>
      </c>
      <c r="BK221" t="s">
        <v>96</v>
      </c>
      <c r="BL221" t="s">
        <v>561</v>
      </c>
      <c r="BM221" t="s">
        <v>3648</v>
      </c>
      <c r="BN221" t="s">
        <v>74</v>
      </c>
      <c r="BO221" t="s">
        <v>3649</v>
      </c>
      <c r="BP221" t="s">
        <v>74</v>
      </c>
      <c r="BQ221" t="s">
        <v>74</v>
      </c>
      <c r="BR221" t="s">
        <v>99</v>
      </c>
      <c r="BS221" t="s">
        <v>3650</v>
      </c>
      <c r="BT221" t="str">
        <f>HYPERLINK("https%3A%2F%2Fwww.webofscience.com%2Fwos%2Fwoscc%2Ffull-record%2FWOS:000188671500002","View Full Record in Web of Science")</f>
        <v>View Full Record in Web of Science</v>
      </c>
    </row>
    <row r="222" spans="1:72" x14ac:dyDescent="0.15">
      <c r="A222" t="s">
        <v>72</v>
      </c>
      <c r="B222" t="s">
        <v>3651</v>
      </c>
      <c r="C222" t="s">
        <v>74</v>
      </c>
      <c r="D222" t="s">
        <v>74</v>
      </c>
      <c r="E222" t="s">
        <v>74</v>
      </c>
      <c r="F222" t="s">
        <v>3651</v>
      </c>
      <c r="G222" t="s">
        <v>74</v>
      </c>
      <c r="H222" t="s">
        <v>74</v>
      </c>
      <c r="I222" t="s">
        <v>3652</v>
      </c>
      <c r="J222" t="s">
        <v>545</v>
      </c>
      <c r="K222" t="s">
        <v>74</v>
      </c>
      <c r="L222" t="s">
        <v>74</v>
      </c>
      <c r="M222" t="s">
        <v>77</v>
      </c>
      <c r="N222" t="s">
        <v>78</v>
      </c>
      <c r="O222" t="s">
        <v>74</v>
      </c>
      <c r="P222" t="s">
        <v>74</v>
      </c>
      <c r="Q222" t="s">
        <v>74</v>
      </c>
      <c r="R222" t="s">
        <v>74</v>
      </c>
      <c r="S222" t="s">
        <v>74</v>
      </c>
      <c r="T222" t="s">
        <v>74</v>
      </c>
      <c r="U222" t="s">
        <v>3653</v>
      </c>
      <c r="V222" t="s">
        <v>3654</v>
      </c>
      <c r="W222" t="s">
        <v>3655</v>
      </c>
      <c r="X222" t="s">
        <v>3656</v>
      </c>
      <c r="Y222" t="s">
        <v>2464</v>
      </c>
      <c r="Z222" t="s">
        <v>3657</v>
      </c>
      <c r="AA222" t="s">
        <v>3658</v>
      </c>
      <c r="AB222" t="s">
        <v>3659</v>
      </c>
      <c r="AC222" t="s">
        <v>74</v>
      </c>
      <c r="AD222" t="s">
        <v>74</v>
      </c>
      <c r="AE222" t="s">
        <v>74</v>
      </c>
      <c r="AF222" t="s">
        <v>74</v>
      </c>
      <c r="AG222">
        <v>17</v>
      </c>
      <c r="AH222">
        <v>40</v>
      </c>
      <c r="AI222">
        <v>41</v>
      </c>
      <c r="AJ222">
        <v>0</v>
      </c>
      <c r="AK222">
        <v>3</v>
      </c>
      <c r="AL222" t="s">
        <v>363</v>
      </c>
      <c r="AM222" t="s">
        <v>364</v>
      </c>
      <c r="AN222" t="s">
        <v>365</v>
      </c>
      <c r="AO222" t="s">
        <v>553</v>
      </c>
      <c r="AP222" t="s">
        <v>554</v>
      </c>
      <c r="AQ222" t="s">
        <v>74</v>
      </c>
      <c r="AR222" t="s">
        <v>555</v>
      </c>
      <c r="AS222" t="s">
        <v>556</v>
      </c>
      <c r="AT222" t="s">
        <v>3645</v>
      </c>
      <c r="AU222">
        <v>2004</v>
      </c>
      <c r="AV222">
        <v>31</v>
      </c>
      <c r="AW222">
        <v>2</v>
      </c>
      <c r="AX222" t="s">
        <v>74</v>
      </c>
      <c r="AY222" t="s">
        <v>74</v>
      </c>
      <c r="AZ222" t="s">
        <v>74</v>
      </c>
      <c r="BA222" t="s">
        <v>74</v>
      </c>
      <c r="BB222" t="s">
        <v>74</v>
      </c>
      <c r="BC222" t="s">
        <v>74</v>
      </c>
      <c r="BD222" t="s">
        <v>3660</v>
      </c>
      <c r="BE222" t="s">
        <v>3661</v>
      </c>
      <c r="BF222" t="str">
        <f>HYPERLINK("http://dx.doi.org/10.1029/2003GL019074","http://dx.doi.org/10.1029/2003GL019074")</f>
        <v>http://dx.doi.org/10.1029/2003GL019074</v>
      </c>
      <c r="BG222" t="s">
        <v>74</v>
      </c>
      <c r="BH222" t="s">
        <v>74</v>
      </c>
      <c r="BI222">
        <v>4</v>
      </c>
      <c r="BJ222" t="s">
        <v>560</v>
      </c>
      <c r="BK222" t="s">
        <v>96</v>
      </c>
      <c r="BL222" t="s">
        <v>561</v>
      </c>
      <c r="BM222" t="s">
        <v>3648</v>
      </c>
      <c r="BN222" t="s">
        <v>74</v>
      </c>
      <c r="BO222" t="s">
        <v>541</v>
      </c>
      <c r="BP222" t="s">
        <v>74</v>
      </c>
      <c r="BQ222" t="s">
        <v>74</v>
      </c>
      <c r="BR222" t="s">
        <v>99</v>
      </c>
      <c r="BS222" t="s">
        <v>3662</v>
      </c>
      <c r="BT222" t="str">
        <f>HYPERLINK("https%3A%2F%2Fwww.webofscience.com%2Fwos%2Fwoscc%2Ffull-record%2FWOS:000188671500005","View Full Record in Web of Science")</f>
        <v>View Full Record in Web of Science</v>
      </c>
    </row>
    <row r="223" spans="1:72" x14ac:dyDescent="0.15">
      <c r="A223" t="s">
        <v>72</v>
      </c>
      <c r="B223" t="s">
        <v>3663</v>
      </c>
      <c r="C223" t="s">
        <v>74</v>
      </c>
      <c r="D223" t="s">
        <v>74</v>
      </c>
      <c r="E223" t="s">
        <v>74</v>
      </c>
      <c r="F223" t="s">
        <v>3663</v>
      </c>
      <c r="G223" t="s">
        <v>74</v>
      </c>
      <c r="H223" t="s">
        <v>74</v>
      </c>
      <c r="I223" t="s">
        <v>3664</v>
      </c>
      <c r="J223" t="s">
        <v>545</v>
      </c>
      <c r="K223" t="s">
        <v>74</v>
      </c>
      <c r="L223" t="s">
        <v>74</v>
      </c>
      <c r="M223" t="s">
        <v>77</v>
      </c>
      <c r="N223" t="s">
        <v>78</v>
      </c>
      <c r="O223" t="s">
        <v>74</v>
      </c>
      <c r="P223" t="s">
        <v>74</v>
      </c>
      <c r="Q223" t="s">
        <v>74</v>
      </c>
      <c r="R223" t="s">
        <v>74</v>
      </c>
      <c r="S223" t="s">
        <v>74</v>
      </c>
      <c r="T223" t="s">
        <v>74</v>
      </c>
      <c r="U223" t="s">
        <v>3665</v>
      </c>
      <c r="V223" t="s">
        <v>3666</v>
      </c>
      <c r="W223" t="s">
        <v>3667</v>
      </c>
      <c r="X223" t="s">
        <v>3668</v>
      </c>
      <c r="Y223" t="s">
        <v>3669</v>
      </c>
      <c r="Z223" t="s">
        <v>3670</v>
      </c>
      <c r="AA223" t="s">
        <v>3671</v>
      </c>
      <c r="AB223" t="s">
        <v>74</v>
      </c>
      <c r="AC223" t="s">
        <v>74</v>
      </c>
      <c r="AD223" t="s">
        <v>74</v>
      </c>
      <c r="AE223" t="s">
        <v>74</v>
      </c>
      <c r="AF223" t="s">
        <v>74</v>
      </c>
      <c r="AG223">
        <v>18</v>
      </c>
      <c r="AH223">
        <v>227</v>
      </c>
      <c r="AI223">
        <v>259</v>
      </c>
      <c r="AJ223">
        <v>1</v>
      </c>
      <c r="AK223">
        <v>42</v>
      </c>
      <c r="AL223" t="s">
        <v>363</v>
      </c>
      <c r="AM223" t="s">
        <v>364</v>
      </c>
      <c r="AN223" t="s">
        <v>365</v>
      </c>
      <c r="AO223" t="s">
        <v>553</v>
      </c>
      <c r="AP223" t="s">
        <v>554</v>
      </c>
      <c r="AQ223" t="s">
        <v>74</v>
      </c>
      <c r="AR223" t="s">
        <v>555</v>
      </c>
      <c r="AS223" t="s">
        <v>556</v>
      </c>
      <c r="AT223" t="s">
        <v>3645</v>
      </c>
      <c r="AU223">
        <v>2004</v>
      </c>
      <c r="AV223">
        <v>31</v>
      </c>
      <c r="AW223">
        <v>2</v>
      </c>
      <c r="AX223" t="s">
        <v>74</v>
      </c>
      <c r="AY223" t="s">
        <v>74</v>
      </c>
      <c r="AZ223" t="s">
        <v>74</v>
      </c>
      <c r="BA223" t="s">
        <v>74</v>
      </c>
      <c r="BB223" t="s">
        <v>74</v>
      </c>
      <c r="BC223" t="s">
        <v>74</v>
      </c>
      <c r="BD223" t="s">
        <v>3672</v>
      </c>
      <c r="BE223" t="s">
        <v>3673</v>
      </c>
      <c r="BF223" t="str">
        <f>HYPERLINK("http://dx.doi.org/10.1029/2003GL018732","http://dx.doi.org/10.1029/2003GL018732")</f>
        <v>http://dx.doi.org/10.1029/2003GL018732</v>
      </c>
      <c r="BG223" t="s">
        <v>74</v>
      </c>
      <c r="BH223" t="s">
        <v>74</v>
      </c>
      <c r="BI223">
        <v>4</v>
      </c>
      <c r="BJ223" t="s">
        <v>560</v>
      </c>
      <c r="BK223" t="s">
        <v>96</v>
      </c>
      <c r="BL223" t="s">
        <v>561</v>
      </c>
      <c r="BM223" t="s">
        <v>3648</v>
      </c>
      <c r="BN223" t="s">
        <v>74</v>
      </c>
      <c r="BO223" t="s">
        <v>541</v>
      </c>
      <c r="BP223" t="s">
        <v>74</v>
      </c>
      <c r="BQ223" t="s">
        <v>74</v>
      </c>
      <c r="BR223" t="s">
        <v>99</v>
      </c>
      <c r="BS223" t="s">
        <v>3674</v>
      </c>
      <c r="BT223" t="str">
        <f>HYPERLINK("https%3A%2F%2Fwww.webofscience.com%2Fwos%2Fwoscc%2Ffull-record%2FWOS:000188671500001","View Full Record in Web of Science")</f>
        <v>View Full Record in Web of Science</v>
      </c>
    </row>
    <row r="224" spans="1:72" x14ac:dyDescent="0.15">
      <c r="A224" t="s">
        <v>72</v>
      </c>
      <c r="B224" t="s">
        <v>3675</v>
      </c>
      <c r="C224" t="s">
        <v>74</v>
      </c>
      <c r="D224" t="s">
        <v>74</v>
      </c>
      <c r="E224" t="s">
        <v>74</v>
      </c>
      <c r="F224" t="s">
        <v>3675</v>
      </c>
      <c r="G224" t="s">
        <v>74</v>
      </c>
      <c r="H224" t="s">
        <v>74</v>
      </c>
      <c r="I224" t="s">
        <v>3676</v>
      </c>
      <c r="J224" t="s">
        <v>799</v>
      </c>
      <c r="K224" t="s">
        <v>74</v>
      </c>
      <c r="L224" t="s">
        <v>74</v>
      </c>
      <c r="M224" t="s">
        <v>77</v>
      </c>
      <c r="N224" t="s">
        <v>78</v>
      </c>
      <c r="O224" t="s">
        <v>74</v>
      </c>
      <c r="P224" t="s">
        <v>74</v>
      </c>
      <c r="Q224" t="s">
        <v>74</v>
      </c>
      <c r="R224" t="s">
        <v>74</v>
      </c>
      <c r="S224" t="s">
        <v>74</v>
      </c>
      <c r="T224" t="s">
        <v>3677</v>
      </c>
      <c r="U224" t="s">
        <v>3678</v>
      </c>
      <c r="V224" t="s">
        <v>3679</v>
      </c>
      <c r="W224" t="s">
        <v>3680</v>
      </c>
      <c r="X224" t="s">
        <v>3681</v>
      </c>
      <c r="Y224" t="s">
        <v>3682</v>
      </c>
      <c r="Z224" t="s">
        <v>3683</v>
      </c>
      <c r="AA224" t="s">
        <v>74</v>
      </c>
      <c r="AB224" t="s">
        <v>3684</v>
      </c>
      <c r="AC224" t="s">
        <v>74</v>
      </c>
      <c r="AD224" t="s">
        <v>74</v>
      </c>
      <c r="AE224" t="s">
        <v>74</v>
      </c>
      <c r="AF224" t="s">
        <v>74</v>
      </c>
      <c r="AG224">
        <v>98</v>
      </c>
      <c r="AH224">
        <v>128</v>
      </c>
      <c r="AI224">
        <v>139</v>
      </c>
      <c r="AJ224">
        <v>2</v>
      </c>
      <c r="AK224">
        <v>37</v>
      </c>
      <c r="AL224" t="s">
        <v>363</v>
      </c>
      <c r="AM224" t="s">
        <v>364</v>
      </c>
      <c r="AN224" t="s">
        <v>365</v>
      </c>
      <c r="AO224" t="s">
        <v>809</v>
      </c>
      <c r="AP224" t="s">
        <v>810</v>
      </c>
      <c r="AQ224" t="s">
        <v>74</v>
      </c>
      <c r="AR224" t="s">
        <v>799</v>
      </c>
      <c r="AS224" t="s">
        <v>811</v>
      </c>
      <c r="AT224" t="s">
        <v>3645</v>
      </c>
      <c r="AU224">
        <v>2004</v>
      </c>
      <c r="AV224">
        <v>19</v>
      </c>
      <c r="AW224">
        <v>1</v>
      </c>
      <c r="AX224" t="s">
        <v>74</v>
      </c>
      <c r="AY224" t="s">
        <v>74</v>
      </c>
      <c r="AZ224" t="s">
        <v>74</v>
      </c>
      <c r="BA224" t="s">
        <v>74</v>
      </c>
      <c r="BB224" t="s">
        <v>74</v>
      </c>
      <c r="BC224" t="s">
        <v>74</v>
      </c>
      <c r="BD224" t="s">
        <v>3685</v>
      </c>
      <c r="BE224" t="s">
        <v>3686</v>
      </c>
      <c r="BF224" t="str">
        <f>HYPERLINK("http://dx.doi.org/10.1029/2003PA000890","http://dx.doi.org/10.1029/2003PA000890")</f>
        <v>http://dx.doi.org/10.1029/2003PA000890</v>
      </c>
      <c r="BG224" t="s">
        <v>74</v>
      </c>
      <c r="BH224" t="s">
        <v>74</v>
      </c>
      <c r="BI224">
        <v>16</v>
      </c>
      <c r="BJ224" t="s">
        <v>814</v>
      </c>
      <c r="BK224" t="s">
        <v>96</v>
      </c>
      <c r="BL224" t="s">
        <v>815</v>
      </c>
      <c r="BM224" t="s">
        <v>3687</v>
      </c>
      <c r="BN224" t="s">
        <v>74</v>
      </c>
      <c r="BO224" t="s">
        <v>397</v>
      </c>
      <c r="BP224" t="s">
        <v>74</v>
      </c>
      <c r="BQ224" t="s">
        <v>74</v>
      </c>
      <c r="BR224" t="s">
        <v>99</v>
      </c>
      <c r="BS224" t="s">
        <v>3688</v>
      </c>
      <c r="BT224" t="str">
        <f>HYPERLINK("https%3A%2F%2Fwww.webofscience.com%2Fwos%2Fwoscc%2Ffull-record%2FWOS:000188673700002","View Full Record in Web of Science")</f>
        <v>View Full Record in Web of Science</v>
      </c>
    </row>
    <row r="225" spans="1:72" x14ac:dyDescent="0.15">
      <c r="A225" t="s">
        <v>72</v>
      </c>
      <c r="B225" t="s">
        <v>3689</v>
      </c>
      <c r="C225" t="s">
        <v>74</v>
      </c>
      <c r="D225" t="s">
        <v>74</v>
      </c>
      <c r="E225" t="s">
        <v>74</v>
      </c>
      <c r="F225" t="s">
        <v>3689</v>
      </c>
      <c r="G225" t="s">
        <v>74</v>
      </c>
      <c r="H225" t="s">
        <v>74</v>
      </c>
      <c r="I225" t="s">
        <v>3690</v>
      </c>
      <c r="J225" t="s">
        <v>545</v>
      </c>
      <c r="K225" t="s">
        <v>74</v>
      </c>
      <c r="L225" t="s">
        <v>74</v>
      </c>
      <c r="M225" t="s">
        <v>77</v>
      </c>
      <c r="N225" t="s">
        <v>78</v>
      </c>
      <c r="O225" t="s">
        <v>74</v>
      </c>
      <c r="P225" t="s">
        <v>74</v>
      </c>
      <c r="Q225" t="s">
        <v>74</v>
      </c>
      <c r="R225" t="s">
        <v>74</v>
      </c>
      <c r="S225" t="s">
        <v>74</v>
      </c>
      <c r="T225" t="s">
        <v>74</v>
      </c>
      <c r="U225" t="s">
        <v>3691</v>
      </c>
      <c r="V225" t="s">
        <v>3692</v>
      </c>
      <c r="W225" t="s">
        <v>3693</v>
      </c>
      <c r="X225" t="s">
        <v>3694</v>
      </c>
      <c r="Y225" t="s">
        <v>3695</v>
      </c>
      <c r="Z225" t="s">
        <v>3696</v>
      </c>
      <c r="AA225" t="s">
        <v>74</v>
      </c>
      <c r="AB225" t="s">
        <v>74</v>
      </c>
      <c r="AC225" t="s">
        <v>74</v>
      </c>
      <c r="AD225" t="s">
        <v>74</v>
      </c>
      <c r="AE225" t="s">
        <v>74</v>
      </c>
      <c r="AF225" t="s">
        <v>74</v>
      </c>
      <c r="AG225">
        <v>15</v>
      </c>
      <c r="AH225">
        <v>15</v>
      </c>
      <c r="AI225">
        <v>18</v>
      </c>
      <c r="AJ225">
        <v>1</v>
      </c>
      <c r="AK225">
        <v>2</v>
      </c>
      <c r="AL225" t="s">
        <v>363</v>
      </c>
      <c r="AM225" t="s">
        <v>364</v>
      </c>
      <c r="AN225" t="s">
        <v>365</v>
      </c>
      <c r="AO225" t="s">
        <v>553</v>
      </c>
      <c r="AP225" t="s">
        <v>554</v>
      </c>
      <c r="AQ225" t="s">
        <v>74</v>
      </c>
      <c r="AR225" t="s">
        <v>555</v>
      </c>
      <c r="AS225" t="s">
        <v>556</v>
      </c>
      <c r="AT225" t="s">
        <v>3697</v>
      </c>
      <c r="AU225">
        <v>2004</v>
      </c>
      <c r="AV225">
        <v>31</v>
      </c>
      <c r="AW225">
        <v>2</v>
      </c>
      <c r="AX225" t="s">
        <v>74</v>
      </c>
      <c r="AY225" t="s">
        <v>74</v>
      </c>
      <c r="AZ225" t="s">
        <v>74</v>
      </c>
      <c r="BA225" t="s">
        <v>74</v>
      </c>
      <c r="BB225" t="s">
        <v>74</v>
      </c>
      <c r="BC225" t="s">
        <v>74</v>
      </c>
      <c r="BD225" t="s">
        <v>3698</v>
      </c>
      <c r="BE225" t="s">
        <v>3699</v>
      </c>
      <c r="BF225" t="str">
        <f>HYPERLINK("http://dx.doi.org/10.1029/2003GL018776","http://dx.doi.org/10.1029/2003GL018776")</f>
        <v>http://dx.doi.org/10.1029/2003GL018776</v>
      </c>
      <c r="BG225" t="s">
        <v>74</v>
      </c>
      <c r="BH225" t="s">
        <v>74</v>
      </c>
      <c r="BI225">
        <v>5</v>
      </c>
      <c r="BJ225" t="s">
        <v>560</v>
      </c>
      <c r="BK225" t="s">
        <v>96</v>
      </c>
      <c r="BL225" t="s">
        <v>561</v>
      </c>
      <c r="BM225" t="s">
        <v>3700</v>
      </c>
      <c r="BN225" t="s">
        <v>74</v>
      </c>
      <c r="BO225" t="s">
        <v>74</v>
      </c>
      <c r="BP225" t="s">
        <v>74</v>
      </c>
      <c r="BQ225" t="s">
        <v>74</v>
      </c>
      <c r="BR225" t="s">
        <v>99</v>
      </c>
      <c r="BS225" t="s">
        <v>3701</v>
      </c>
      <c r="BT225" t="str">
        <f>HYPERLINK("https%3A%2F%2Fwww.webofscience.com%2Fwos%2Fwoscc%2Ffull-record%2FWOS:000188671100004","View Full Record in Web of Science")</f>
        <v>View Full Record in Web of Science</v>
      </c>
    </row>
    <row r="226" spans="1:72" x14ac:dyDescent="0.15">
      <c r="A226" t="s">
        <v>72</v>
      </c>
      <c r="B226" t="s">
        <v>3702</v>
      </c>
      <c r="C226" t="s">
        <v>74</v>
      </c>
      <c r="D226" t="s">
        <v>74</v>
      </c>
      <c r="E226" t="s">
        <v>74</v>
      </c>
      <c r="F226" t="s">
        <v>3702</v>
      </c>
      <c r="G226" t="s">
        <v>74</v>
      </c>
      <c r="H226" t="s">
        <v>74</v>
      </c>
      <c r="I226" t="s">
        <v>3703</v>
      </c>
      <c r="J226" t="s">
        <v>545</v>
      </c>
      <c r="K226" t="s">
        <v>74</v>
      </c>
      <c r="L226" t="s">
        <v>74</v>
      </c>
      <c r="M226" t="s">
        <v>77</v>
      </c>
      <c r="N226" t="s">
        <v>78</v>
      </c>
      <c r="O226" t="s">
        <v>74</v>
      </c>
      <c r="P226" t="s">
        <v>74</v>
      </c>
      <c r="Q226" t="s">
        <v>74</v>
      </c>
      <c r="R226" t="s">
        <v>74</v>
      </c>
      <c r="S226" t="s">
        <v>74</v>
      </c>
      <c r="T226" t="s">
        <v>74</v>
      </c>
      <c r="U226" t="s">
        <v>3704</v>
      </c>
      <c r="V226" t="s">
        <v>3705</v>
      </c>
      <c r="W226" t="s">
        <v>3706</v>
      </c>
      <c r="X226" t="s">
        <v>3707</v>
      </c>
      <c r="Y226" t="s">
        <v>3708</v>
      </c>
      <c r="Z226" t="s">
        <v>3709</v>
      </c>
      <c r="AA226" t="s">
        <v>3710</v>
      </c>
      <c r="AB226" t="s">
        <v>3711</v>
      </c>
      <c r="AC226" t="s">
        <v>74</v>
      </c>
      <c r="AD226" t="s">
        <v>74</v>
      </c>
      <c r="AE226" t="s">
        <v>74</v>
      </c>
      <c r="AF226" t="s">
        <v>74</v>
      </c>
      <c r="AG226">
        <v>14</v>
      </c>
      <c r="AH226">
        <v>17</v>
      </c>
      <c r="AI226">
        <v>20</v>
      </c>
      <c r="AJ226">
        <v>0</v>
      </c>
      <c r="AK226">
        <v>8</v>
      </c>
      <c r="AL226" t="s">
        <v>363</v>
      </c>
      <c r="AM226" t="s">
        <v>364</v>
      </c>
      <c r="AN226" t="s">
        <v>365</v>
      </c>
      <c r="AO226" t="s">
        <v>553</v>
      </c>
      <c r="AP226" t="s">
        <v>554</v>
      </c>
      <c r="AQ226" t="s">
        <v>74</v>
      </c>
      <c r="AR226" t="s">
        <v>555</v>
      </c>
      <c r="AS226" t="s">
        <v>556</v>
      </c>
      <c r="AT226" t="s">
        <v>3712</v>
      </c>
      <c r="AU226">
        <v>2004</v>
      </c>
      <c r="AV226">
        <v>31</v>
      </c>
      <c r="AW226">
        <v>2</v>
      </c>
      <c r="AX226" t="s">
        <v>74</v>
      </c>
      <c r="AY226" t="s">
        <v>74</v>
      </c>
      <c r="AZ226" t="s">
        <v>74</v>
      </c>
      <c r="BA226" t="s">
        <v>74</v>
      </c>
      <c r="BB226" t="s">
        <v>74</v>
      </c>
      <c r="BC226" t="s">
        <v>74</v>
      </c>
      <c r="BD226" t="s">
        <v>3713</v>
      </c>
      <c r="BE226" t="s">
        <v>3714</v>
      </c>
      <c r="BF226" t="str">
        <f>HYPERLINK("http://dx.doi.org/10.1029/2003GL018861","http://dx.doi.org/10.1029/2003GL018861")</f>
        <v>http://dx.doi.org/10.1029/2003GL018861</v>
      </c>
      <c r="BG226" t="s">
        <v>74</v>
      </c>
      <c r="BH226" t="s">
        <v>74</v>
      </c>
      <c r="BI226">
        <v>4</v>
      </c>
      <c r="BJ226" t="s">
        <v>560</v>
      </c>
      <c r="BK226" t="s">
        <v>96</v>
      </c>
      <c r="BL226" t="s">
        <v>561</v>
      </c>
      <c r="BM226" t="s">
        <v>3715</v>
      </c>
      <c r="BN226" t="s">
        <v>74</v>
      </c>
      <c r="BO226" t="s">
        <v>541</v>
      </c>
      <c r="BP226" t="s">
        <v>74</v>
      </c>
      <c r="BQ226" t="s">
        <v>74</v>
      </c>
      <c r="BR226" t="s">
        <v>99</v>
      </c>
      <c r="BS226" t="s">
        <v>3716</v>
      </c>
      <c r="BT226" t="str">
        <f>HYPERLINK("https%3A%2F%2Fwww.webofscience.com%2Fwos%2Fwoscc%2Ffull-record%2FWOS:000188306700005","View Full Record in Web of Science")</f>
        <v>View Full Record in Web of Science</v>
      </c>
    </row>
    <row r="227" spans="1:72" x14ac:dyDescent="0.15">
      <c r="A227" t="s">
        <v>72</v>
      </c>
      <c r="B227" t="s">
        <v>3717</v>
      </c>
      <c r="C227" t="s">
        <v>74</v>
      </c>
      <c r="D227" t="s">
        <v>74</v>
      </c>
      <c r="E227" t="s">
        <v>74</v>
      </c>
      <c r="F227" t="s">
        <v>3717</v>
      </c>
      <c r="G227" t="s">
        <v>74</v>
      </c>
      <c r="H227" t="s">
        <v>74</v>
      </c>
      <c r="I227" t="s">
        <v>3718</v>
      </c>
      <c r="J227" t="s">
        <v>3719</v>
      </c>
      <c r="K227" t="s">
        <v>74</v>
      </c>
      <c r="L227" t="s">
        <v>74</v>
      </c>
      <c r="M227" t="s">
        <v>77</v>
      </c>
      <c r="N227" t="s">
        <v>78</v>
      </c>
      <c r="O227" t="s">
        <v>74</v>
      </c>
      <c r="P227" t="s">
        <v>74</v>
      </c>
      <c r="Q227" t="s">
        <v>74</v>
      </c>
      <c r="R227" t="s">
        <v>74</v>
      </c>
      <c r="S227" t="s">
        <v>74</v>
      </c>
      <c r="T227" t="s">
        <v>3720</v>
      </c>
      <c r="U227" t="s">
        <v>3721</v>
      </c>
      <c r="V227" t="s">
        <v>3722</v>
      </c>
      <c r="W227" t="s">
        <v>3723</v>
      </c>
      <c r="X227" t="s">
        <v>3724</v>
      </c>
      <c r="Y227" t="s">
        <v>3725</v>
      </c>
      <c r="Z227" t="s">
        <v>3726</v>
      </c>
      <c r="AA227" t="s">
        <v>3727</v>
      </c>
      <c r="AB227" t="s">
        <v>3728</v>
      </c>
      <c r="AC227" t="s">
        <v>74</v>
      </c>
      <c r="AD227" t="s">
        <v>74</v>
      </c>
      <c r="AE227" t="s">
        <v>74</v>
      </c>
      <c r="AF227" t="s">
        <v>74</v>
      </c>
      <c r="AG227">
        <v>73</v>
      </c>
      <c r="AH227">
        <v>9</v>
      </c>
      <c r="AI227">
        <v>9</v>
      </c>
      <c r="AJ227">
        <v>0</v>
      </c>
      <c r="AK227">
        <v>21</v>
      </c>
      <c r="AL227" t="s">
        <v>3622</v>
      </c>
      <c r="AM227" t="s">
        <v>3623</v>
      </c>
      <c r="AN227" t="s">
        <v>3624</v>
      </c>
      <c r="AO227" t="s">
        <v>3729</v>
      </c>
      <c r="AP227" t="s">
        <v>74</v>
      </c>
      <c r="AQ227" t="s">
        <v>74</v>
      </c>
      <c r="AR227" t="s">
        <v>3730</v>
      </c>
      <c r="AS227" t="s">
        <v>3731</v>
      </c>
      <c r="AT227" t="s">
        <v>3732</v>
      </c>
      <c r="AU227">
        <v>2004</v>
      </c>
      <c r="AV227">
        <v>34</v>
      </c>
      <c r="AW227">
        <v>1</v>
      </c>
      <c r="AX227" t="s">
        <v>74</v>
      </c>
      <c r="AY227" t="s">
        <v>74</v>
      </c>
      <c r="AZ227" t="s">
        <v>74</v>
      </c>
      <c r="BA227" t="s">
        <v>74</v>
      </c>
      <c r="BB227">
        <v>79</v>
      </c>
      <c r="BC227">
        <v>92</v>
      </c>
      <c r="BD227" t="s">
        <v>74</v>
      </c>
      <c r="BE227" t="s">
        <v>3733</v>
      </c>
      <c r="BF227" t="str">
        <f>HYPERLINK("http://dx.doi.org/10.3354/ame034079","http://dx.doi.org/10.3354/ame034079")</f>
        <v>http://dx.doi.org/10.3354/ame034079</v>
      </c>
      <c r="BG227" t="s">
        <v>74</v>
      </c>
      <c r="BH227" t="s">
        <v>74</v>
      </c>
      <c r="BI227">
        <v>14</v>
      </c>
      <c r="BJ227" t="s">
        <v>3734</v>
      </c>
      <c r="BK227" t="s">
        <v>96</v>
      </c>
      <c r="BL227" t="s">
        <v>3735</v>
      </c>
      <c r="BM227" t="s">
        <v>3736</v>
      </c>
      <c r="BN227" t="s">
        <v>74</v>
      </c>
      <c r="BO227" t="s">
        <v>516</v>
      </c>
      <c r="BP227" t="s">
        <v>74</v>
      </c>
      <c r="BQ227" t="s">
        <v>74</v>
      </c>
      <c r="BR227" t="s">
        <v>99</v>
      </c>
      <c r="BS227" t="s">
        <v>3737</v>
      </c>
      <c r="BT227" t="str">
        <f>HYPERLINK("https%3A%2F%2Fwww.webofscience.com%2Fwos%2Fwoscc%2Ffull-record%2FWOS:000188829700008","View Full Record in Web of Science")</f>
        <v>View Full Record in Web of Science</v>
      </c>
    </row>
    <row r="228" spans="1:72" x14ac:dyDescent="0.15">
      <c r="A228" t="s">
        <v>72</v>
      </c>
      <c r="B228" t="s">
        <v>3738</v>
      </c>
      <c r="C228" t="s">
        <v>74</v>
      </c>
      <c r="D228" t="s">
        <v>74</v>
      </c>
      <c r="E228" t="s">
        <v>74</v>
      </c>
      <c r="F228" t="s">
        <v>3738</v>
      </c>
      <c r="G228" t="s">
        <v>74</v>
      </c>
      <c r="H228" t="s">
        <v>74</v>
      </c>
      <c r="I228" t="s">
        <v>3739</v>
      </c>
      <c r="J228" t="s">
        <v>727</v>
      </c>
      <c r="K228" t="s">
        <v>74</v>
      </c>
      <c r="L228" t="s">
        <v>74</v>
      </c>
      <c r="M228" t="s">
        <v>77</v>
      </c>
      <c r="N228" t="s">
        <v>78</v>
      </c>
      <c r="O228" t="s">
        <v>74</v>
      </c>
      <c r="P228" t="s">
        <v>74</v>
      </c>
      <c r="Q228" t="s">
        <v>74</v>
      </c>
      <c r="R228" t="s">
        <v>74</v>
      </c>
      <c r="S228" t="s">
        <v>74</v>
      </c>
      <c r="T228" t="s">
        <v>3740</v>
      </c>
      <c r="U228" t="s">
        <v>3741</v>
      </c>
      <c r="V228" t="s">
        <v>3742</v>
      </c>
      <c r="W228" t="s">
        <v>3743</v>
      </c>
      <c r="X228" t="s">
        <v>3744</v>
      </c>
      <c r="Y228" t="s">
        <v>3745</v>
      </c>
      <c r="Z228" t="s">
        <v>3746</v>
      </c>
      <c r="AA228" t="s">
        <v>3747</v>
      </c>
      <c r="AB228" t="s">
        <v>3748</v>
      </c>
      <c r="AC228" t="s">
        <v>74</v>
      </c>
      <c r="AD228" t="s">
        <v>74</v>
      </c>
      <c r="AE228" t="s">
        <v>74</v>
      </c>
      <c r="AF228" t="s">
        <v>74</v>
      </c>
      <c r="AG228">
        <v>45</v>
      </c>
      <c r="AH228">
        <v>76</v>
      </c>
      <c r="AI228">
        <v>82</v>
      </c>
      <c r="AJ228">
        <v>0</v>
      </c>
      <c r="AK228">
        <v>11</v>
      </c>
      <c r="AL228" t="s">
        <v>277</v>
      </c>
      <c r="AM228" t="s">
        <v>214</v>
      </c>
      <c r="AN228" t="s">
        <v>278</v>
      </c>
      <c r="AO228" t="s">
        <v>737</v>
      </c>
      <c r="AP228" t="s">
        <v>738</v>
      </c>
      <c r="AQ228" t="s">
        <v>74</v>
      </c>
      <c r="AR228" t="s">
        <v>739</v>
      </c>
      <c r="AS228" t="s">
        <v>740</v>
      </c>
      <c r="AT228" t="s">
        <v>3749</v>
      </c>
      <c r="AU228">
        <v>2004</v>
      </c>
      <c r="AV228">
        <v>230</v>
      </c>
      <c r="AW228">
        <v>1</v>
      </c>
      <c r="AX228" t="s">
        <v>74</v>
      </c>
      <c r="AY228" t="s">
        <v>74</v>
      </c>
      <c r="AZ228" t="s">
        <v>74</v>
      </c>
      <c r="BA228" t="s">
        <v>74</v>
      </c>
      <c r="BB228">
        <v>63</v>
      </c>
      <c r="BC228">
        <v>71</v>
      </c>
      <c r="BD228" t="s">
        <v>74</v>
      </c>
      <c r="BE228" t="s">
        <v>3750</v>
      </c>
      <c r="BF228" t="str">
        <f>HYPERLINK("http://dx.doi.org/10.1016/S0378-1097(03)00857-7","http://dx.doi.org/10.1016/S0378-1097(03)00857-7")</f>
        <v>http://dx.doi.org/10.1016/S0378-1097(03)00857-7</v>
      </c>
      <c r="BG228" t="s">
        <v>74</v>
      </c>
      <c r="BH228" t="s">
        <v>74</v>
      </c>
      <c r="BI228">
        <v>9</v>
      </c>
      <c r="BJ228" t="s">
        <v>743</v>
      </c>
      <c r="BK228" t="s">
        <v>96</v>
      </c>
      <c r="BL228" t="s">
        <v>743</v>
      </c>
      <c r="BM228" t="s">
        <v>3751</v>
      </c>
      <c r="BN228">
        <v>14734167</v>
      </c>
      <c r="BO228" t="s">
        <v>623</v>
      </c>
      <c r="BP228" t="s">
        <v>74</v>
      </c>
      <c r="BQ228" t="s">
        <v>74</v>
      </c>
      <c r="BR228" t="s">
        <v>99</v>
      </c>
      <c r="BS228" t="s">
        <v>3752</v>
      </c>
      <c r="BT228" t="str">
        <f>HYPERLINK("https%3A%2F%2Fwww.webofscience.com%2Fwos%2Fwoscc%2Ffull-record%2FWOS:000188615500010","View Full Record in Web of Science")</f>
        <v>View Full Record in Web of Science</v>
      </c>
    </row>
    <row r="229" spans="1:72" x14ac:dyDescent="0.15">
      <c r="A229" t="s">
        <v>72</v>
      </c>
      <c r="B229" t="s">
        <v>3753</v>
      </c>
      <c r="C229" t="s">
        <v>74</v>
      </c>
      <c r="D229" t="s">
        <v>74</v>
      </c>
      <c r="E229" t="s">
        <v>74</v>
      </c>
      <c r="F229" t="s">
        <v>3753</v>
      </c>
      <c r="G229" t="s">
        <v>74</v>
      </c>
      <c r="H229" t="s">
        <v>74</v>
      </c>
      <c r="I229" t="s">
        <v>3754</v>
      </c>
      <c r="J229" t="s">
        <v>3755</v>
      </c>
      <c r="K229" t="s">
        <v>74</v>
      </c>
      <c r="L229" t="s">
        <v>74</v>
      </c>
      <c r="M229" t="s">
        <v>77</v>
      </c>
      <c r="N229" t="s">
        <v>78</v>
      </c>
      <c r="O229" t="s">
        <v>74</v>
      </c>
      <c r="P229" t="s">
        <v>74</v>
      </c>
      <c r="Q229" t="s">
        <v>74</v>
      </c>
      <c r="R229" t="s">
        <v>74</v>
      </c>
      <c r="S229" t="s">
        <v>74</v>
      </c>
      <c r="T229" t="s">
        <v>3756</v>
      </c>
      <c r="U229" t="s">
        <v>3757</v>
      </c>
      <c r="V229" t="s">
        <v>3758</v>
      </c>
      <c r="W229" t="s">
        <v>3759</v>
      </c>
      <c r="X229" t="s">
        <v>3760</v>
      </c>
      <c r="Y229" t="s">
        <v>3761</v>
      </c>
      <c r="Z229" t="s">
        <v>3762</v>
      </c>
      <c r="AA229" t="s">
        <v>74</v>
      </c>
      <c r="AB229" t="s">
        <v>3763</v>
      </c>
      <c r="AC229" t="s">
        <v>74</v>
      </c>
      <c r="AD229" t="s">
        <v>74</v>
      </c>
      <c r="AE229" t="s">
        <v>74</v>
      </c>
      <c r="AF229" t="s">
        <v>74</v>
      </c>
      <c r="AG229">
        <v>20</v>
      </c>
      <c r="AH229">
        <v>9</v>
      </c>
      <c r="AI229">
        <v>10</v>
      </c>
      <c r="AJ229">
        <v>0</v>
      </c>
      <c r="AK229">
        <v>3</v>
      </c>
      <c r="AL229" t="s">
        <v>3375</v>
      </c>
      <c r="AM229" t="s">
        <v>3376</v>
      </c>
      <c r="AN229" t="s">
        <v>3377</v>
      </c>
      <c r="AO229" t="s">
        <v>3764</v>
      </c>
      <c r="AP229" t="s">
        <v>74</v>
      </c>
      <c r="AQ229" t="s">
        <v>74</v>
      </c>
      <c r="AR229" t="s">
        <v>3755</v>
      </c>
      <c r="AS229" t="s">
        <v>3765</v>
      </c>
      <c r="AT229" t="s">
        <v>3749</v>
      </c>
      <c r="AU229">
        <v>2004</v>
      </c>
      <c r="AV229">
        <v>512</v>
      </c>
      <c r="AW229" t="s">
        <v>3766</v>
      </c>
      <c r="AX229" t="s">
        <v>74</v>
      </c>
      <c r="AY229" t="s">
        <v>74</v>
      </c>
      <c r="AZ229" t="s">
        <v>74</v>
      </c>
      <c r="BA229" t="s">
        <v>74</v>
      </c>
      <c r="BB229">
        <v>165</v>
      </c>
      <c r="BC229">
        <v>170</v>
      </c>
      <c r="BD229" t="s">
        <v>74</v>
      </c>
      <c r="BE229" t="s">
        <v>3767</v>
      </c>
      <c r="BF229" t="str">
        <f>HYPERLINK("http://dx.doi.org/10.1023/B:HYDR.0000020323.78605.9e","http://dx.doi.org/10.1023/B:HYDR.0000020323.78605.9e")</f>
        <v>http://dx.doi.org/10.1023/B:HYDR.0000020323.78605.9e</v>
      </c>
      <c r="BG229" t="s">
        <v>74</v>
      </c>
      <c r="BH229" t="s">
        <v>74</v>
      </c>
      <c r="BI229">
        <v>6</v>
      </c>
      <c r="BJ229" t="s">
        <v>1770</v>
      </c>
      <c r="BK229" t="s">
        <v>96</v>
      </c>
      <c r="BL229" t="s">
        <v>1770</v>
      </c>
      <c r="BM229" t="s">
        <v>3768</v>
      </c>
      <c r="BN229" t="s">
        <v>74</v>
      </c>
      <c r="BO229" t="s">
        <v>74</v>
      </c>
      <c r="BP229" t="s">
        <v>74</v>
      </c>
      <c r="BQ229" t="s">
        <v>74</v>
      </c>
      <c r="BR229" t="s">
        <v>99</v>
      </c>
      <c r="BS229" t="s">
        <v>3769</v>
      </c>
      <c r="BT229" t="str">
        <f>HYPERLINK("https%3A%2F%2Fwww.webofscience.com%2Fwos%2Fwoscc%2Ffull-record%2FWOS:000220784100023","View Full Record in Web of Science")</f>
        <v>View Full Record in Web of Science</v>
      </c>
    </row>
    <row r="230" spans="1:72" x14ac:dyDescent="0.15">
      <c r="A230" t="s">
        <v>72</v>
      </c>
      <c r="B230" t="s">
        <v>3770</v>
      </c>
      <c r="C230" t="s">
        <v>74</v>
      </c>
      <c r="D230" t="s">
        <v>74</v>
      </c>
      <c r="E230" t="s">
        <v>74</v>
      </c>
      <c r="F230" t="s">
        <v>3770</v>
      </c>
      <c r="G230" t="s">
        <v>74</v>
      </c>
      <c r="H230" t="s">
        <v>74</v>
      </c>
      <c r="I230" t="s">
        <v>3771</v>
      </c>
      <c r="J230" t="s">
        <v>3772</v>
      </c>
      <c r="K230" t="s">
        <v>74</v>
      </c>
      <c r="L230" t="s">
        <v>74</v>
      </c>
      <c r="M230" t="s">
        <v>77</v>
      </c>
      <c r="N230" t="s">
        <v>78</v>
      </c>
      <c r="O230" t="s">
        <v>74</v>
      </c>
      <c r="P230" t="s">
        <v>74</v>
      </c>
      <c r="Q230" t="s">
        <v>74</v>
      </c>
      <c r="R230" t="s">
        <v>74</v>
      </c>
      <c r="S230" t="s">
        <v>74</v>
      </c>
      <c r="T230" t="s">
        <v>74</v>
      </c>
      <c r="U230" t="s">
        <v>3773</v>
      </c>
      <c r="V230" t="s">
        <v>3774</v>
      </c>
      <c r="W230" t="s">
        <v>3775</v>
      </c>
      <c r="X230" t="s">
        <v>3776</v>
      </c>
      <c r="Y230" t="s">
        <v>3777</v>
      </c>
      <c r="Z230" t="s">
        <v>2328</v>
      </c>
      <c r="AA230" t="s">
        <v>74</v>
      </c>
      <c r="AB230" t="s">
        <v>3778</v>
      </c>
      <c r="AC230" t="s">
        <v>74</v>
      </c>
      <c r="AD230" t="s">
        <v>74</v>
      </c>
      <c r="AE230" t="s">
        <v>74</v>
      </c>
      <c r="AF230" t="s">
        <v>74</v>
      </c>
      <c r="AG230">
        <v>51</v>
      </c>
      <c r="AH230">
        <v>73</v>
      </c>
      <c r="AI230">
        <v>82</v>
      </c>
      <c r="AJ230">
        <v>1</v>
      </c>
      <c r="AK230">
        <v>41</v>
      </c>
      <c r="AL230" t="s">
        <v>3779</v>
      </c>
      <c r="AM230" t="s">
        <v>3780</v>
      </c>
      <c r="AN230" t="s">
        <v>3781</v>
      </c>
      <c r="AO230" t="s">
        <v>3782</v>
      </c>
      <c r="AP230" t="s">
        <v>3783</v>
      </c>
      <c r="AQ230" t="s">
        <v>74</v>
      </c>
      <c r="AR230" t="s">
        <v>3784</v>
      </c>
      <c r="AS230" t="s">
        <v>3785</v>
      </c>
      <c r="AT230" t="s">
        <v>3749</v>
      </c>
      <c r="AU230">
        <v>2004</v>
      </c>
      <c r="AV230">
        <v>120</v>
      </c>
      <c r="AW230">
        <v>3</v>
      </c>
      <c r="AX230" t="s">
        <v>74</v>
      </c>
      <c r="AY230" t="s">
        <v>74</v>
      </c>
      <c r="AZ230" t="s">
        <v>74</v>
      </c>
      <c r="BA230" t="s">
        <v>74</v>
      </c>
      <c r="BB230">
        <v>1395</v>
      </c>
      <c r="BC230">
        <v>1401</v>
      </c>
      <c r="BD230" t="s">
        <v>74</v>
      </c>
      <c r="BE230" t="s">
        <v>3786</v>
      </c>
      <c r="BF230" t="str">
        <f>HYPERLINK("http://dx.doi.org/10.1063/1.1634250","http://dx.doi.org/10.1063/1.1634250")</f>
        <v>http://dx.doi.org/10.1063/1.1634250</v>
      </c>
      <c r="BG230" t="s">
        <v>74</v>
      </c>
      <c r="BH230" t="s">
        <v>74</v>
      </c>
      <c r="BI230">
        <v>7</v>
      </c>
      <c r="BJ230" t="s">
        <v>2317</v>
      </c>
      <c r="BK230" t="s">
        <v>96</v>
      </c>
      <c r="BL230" t="s">
        <v>2318</v>
      </c>
      <c r="BM230" t="s">
        <v>3787</v>
      </c>
      <c r="BN230">
        <v>15268265</v>
      </c>
      <c r="BO230" t="s">
        <v>74</v>
      </c>
      <c r="BP230" t="s">
        <v>74</v>
      </c>
      <c r="BQ230" t="s">
        <v>74</v>
      </c>
      <c r="BR230" t="s">
        <v>99</v>
      </c>
      <c r="BS230" t="s">
        <v>3788</v>
      </c>
      <c r="BT230" t="str">
        <f>HYPERLINK("https%3A%2F%2Fwww.webofscience.com%2Fwos%2Fwoscc%2Ffull-record%2FWOS:000188081000033","View Full Record in Web of Science")</f>
        <v>View Full Record in Web of Science</v>
      </c>
    </row>
    <row r="231" spans="1:72" x14ac:dyDescent="0.15">
      <c r="A231" t="s">
        <v>72</v>
      </c>
      <c r="B231" t="s">
        <v>3789</v>
      </c>
      <c r="C231" t="s">
        <v>74</v>
      </c>
      <c r="D231" t="s">
        <v>74</v>
      </c>
      <c r="E231" t="s">
        <v>74</v>
      </c>
      <c r="F231" t="s">
        <v>3789</v>
      </c>
      <c r="G231" t="s">
        <v>74</v>
      </c>
      <c r="H231" t="s">
        <v>74</v>
      </c>
      <c r="I231" t="s">
        <v>3790</v>
      </c>
      <c r="J231" t="s">
        <v>2148</v>
      </c>
      <c r="K231" t="s">
        <v>74</v>
      </c>
      <c r="L231" t="s">
        <v>74</v>
      </c>
      <c r="M231" t="s">
        <v>77</v>
      </c>
      <c r="N231" t="s">
        <v>78</v>
      </c>
      <c r="O231" t="s">
        <v>74</v>
      </c>
      <c r="P231" t="s">
        <v>74</v>
      </c>
      <c r="Q231" t="s">
        <v>74</v>
      </c>
      <c r="R231" t="s">
        <v>74</v>
      </c>
      <c r="S231" t="s">
        <v>74</v>
      </c>
      <c r="T231" t="s">
        <v>3791</v>
      </c>
      <c r="U231" t="s">
        <v>3792</v>
      </c>
      <c r="V231" t="s">
        <v>3793</v>
      </c>
      <c r="W231" t="s">
        <v>3794</v>
      </c>
      <c r="X231" t="s">
        <v>3795</v>
      </c>
      <c r="Y231" t="s">
        <v>3796</v>
      </c>
      <c r="Z231" t="s">
        <v>3797</v>
      </c>
      <c r="AA231" t="s">
        <v>3798</v>
      </c>
      <c r="AB231" t="s">
        <v>3799</v>
      </c>
      <c r="AC231" t="s">
        <v>74</v>
      </c>
      <c r="AD231" t="s">
        <v>74</v>
      </c>
      <c r="AE231" t="s">
        <v>74</v>
      </c>
      <c r="AF231" t="s">
        <v>74</v>
      </c>
      <c r="AG231">
        <v>74</v>
      </c>
      <c r="AH231">
        <v>45</v>
      </c>
      <c r="AI231">
        <v>45</v>
      </c>
      <c r="AJ231">
        <v>0</v>
      </c>
      <c r="AK231">
        <v>13</v>
      </c>
      <c r="AL231" t="s">
        <v>685</v>
      </c>
      <c r="AM231" t="s">
        <v>529</v>
      </c>
      <c r="AN231" t="s">
        <v>686</v>
      </c>
      <c r="AO231" t="s">
        <v>2156</v>
      </c>
      <c r="AP231" t="s">
        <v>2157</v>
      </c>
      <c r="AQ231" t="s">
        <v>74</v>
      </c>
      <c r="AR231" t="s">
        <v>2158</v>
      </c>
      <c r="AS231" t="s">
        <v>2159</v>
      </c>
      <c r="AT231" t="s">
        <v>3749</v>
      </c>
      <c r="AU231">
        <v>2004</v>
      </c>
      <c r="AV231">
        <v>203</v>
      </c>
      <c r="AW231" t="s">
        <v>536</v>
      </c>
      <c r="AX231" t="s">
        <v>74</v>
      </c>
      <c r="AY231" t="s">
        <v>74</v>
      </c>
      <c r="AZ231" t="s">
        <v>74</v>
      </c>
      <c r="BA231" t="s">
        <v>74</v>
      </c>
      <c r="BB231">
        <v>119</v>
      </c>
      <c r="BC231">
        <v>140</v>
      </c>
      <c r="BD231" t="s">
        <v>74</v>
      </c>
      <c r="BE231" t="s">
        <v>3800</v>
      </c>
      <c r="BF231" t="str">
        <f>HYPERLINK("http://dx.doi.org/10.1016/S0025-3227(03)00285-8","http://dx.doi.org/10.1016/S0025-3227(03)00285-8")</f>
        <v>http://dx.doi.org/10.1016/S0025-3227(03)00285-8</v>
      </c>
      <c r="BG231" t="s">
        <v>74</v>
      </c>
      <c r="BH231" t="s">
        <v>74</v>
      </c>
      <c r="BI231">
        <v>22</v>
      </c>
      <c r="BJ231" t="s">
        <v>2161</v>
      </c>
      <c r="BK231" t="s">
        <v>96</v>
      </c>
      <c r="BL231" t="s">
        <v>2162</v>
      </c>
      <c r="BM231" t="s">
        <v>3801</v>
      </c>
      <c r="BN231" t="s">
        <v>74</v>
      </c>
      <c r="BO231" t="s">
        <v>74</v>
      </c>
      <c r="BP231" t="s">
        <v>74</v>
      </c>
      <c r="BQ231" t="s">
        <v>74</v>
      </c>
      <c r="BR231" t="s">
        <v>99</v>
      </c>
      <c r="BS231" t="s">
        <v>3802</v>
      </c>
      <c r="BT231" t="str">
        <f>HYPERLINK("https%3A%2F%2Fwww.webofscience.com%2Fwos%2Fwoscc%2Ffull-record%2FWOS:000188285800008","View Full Record in Web of Science")</f>
        <v>View Full Record in Web of Science</v>
      </c>
    </row>
    <row r="232" spans="1:72" x14ac:dyDescent="0.15">
      <c r="A232" t="s">
        <v>72</v>
      </c>
      <c r="B232" t="s">
        <v>3803</v>
      </c>
      <c r="C232" t="s">
        <v>74</v>
      </c>
      <c r="D232" t="s">
        <v>74</v>
      </c>
      <c r="E232" t="s">
        <v>74</v>
      </c>
      <c r="F232" t="s">
        <v>3803</v>
      </c>
      <c r="G232" t="s">
        <v>74</v>
      </c>
      <c r="H232" t="s">
        <v>74</v>
      </c>
      <c r="I232" t="s">
        <v>3804</v>
      </c>
      <c r="J232" t="s">
        <v>520</v>
      </c>
      <c r="K232" t="s">
        <v>74</v>
      </c>
      <c r="L232" t="s">
        <v>74</v>
      </c>
      <c r="M232" t="s">
        <v>77</v>
      </c>
      <c r="N232" t="s">
        <v>78</v>
      </c>
      <c r="O232" t="s">
        <v>74</v>
      </c>
      <c r="P232" t="s">
        <v>74</v>
      </c>
      <c r="Q232" t="s">
        <v>74</v>
      </c>
      <c r="R232" t="s">
        <v>74</v>
      </c>
      <c r="S232" t="s">
        <v>74</v>
      </c>
      <c r="T232" t="s">
        <v>3805</v>
      </c>
      <c r="U232" t="s">
        <v>3806</v>
      </c>
      <c r="V232" t="s">
        <v>3807</v>
      </c>
      <c r="W232" t="s">
        <v>3808</v>
      </c>
      <c r="X232" t="s">
        <v>3809</v>
      </c>
      <c r="Y232" t="s">
        <v>3810</v>
      </c>
      <c r="Z232" t="s">
        <v>3811</v>
      </c>
      <c r="AA232" t="s">
        <v>3812</v>
      </c>
      <c r="AB232" t="s">
        <v>3813</v>
      </c>
      <c r="AC232" t="s">
        <v>74</v>
      </c>
      <c r="AD232" t="s">
        <v>74</v>
      </c>
      <c r="AE232" t="s">
        <v>74</v>
      </c>
      <c r="AF232" t="s">
        <v>74</v>
      </c>
      <c r="AG232">
        <v>58</v>
      </c>
      <c r="AH232">
        <v>39</v>
      </c>
      <c r="AI232">
        <v>44</v>
      </c>
      <c r="AJ232">
        <v>0</v>
      </c>
      <c r="AK232">
        <v>7</v>
      </c>
      <c r="AL232" t="s">
        <v>685</v>
      </c>
      <c r="AM232" t="s">
        <v>529</v>
      </c>
      <c r="AN232" t="s">
        <v>686</v>
      </c>
      <c r="AO232" t="s">
        <v>531</v>
      </c>
      <c r="AP232" t="s">
        <v>532</v>
      </c>
      <c r="AQ232" t="s">
        <v>74</v>
      </c>
      <c r="AR232" t="s">
        <v>533</v>
      </c>
      <c r="AS232" t="s">
        <v>534</v>
      </c>
      <c r="AT232" t="s">
        <v>3749</v>
      </c>
      <c r="AU232">
        <v>2004</v>
      </c>
      <c r="AV232">
        <v>203</v>
      </c>
      <c r="AW232" t="s">
        <v>536</v>
      </c>
      <c r="AX232" t="s">
        <v>74</v>
      </c>
      <c r="AY232" t="s">
        <v>74</v>
      </c>
      <c r="AZ232" t="s">
        <v>74</v>
      </c>
      <c r="BA232" t="s">
        <v>74</v>
      </c>
      <c r="BB232">
        <v>95</v>
      </c>
      <c r="BC232">
        <v>105</v>
      </c>
      <c r="BD232" t="s">
        <v>74</v>
      </c>
      <c r="BE232" t="s">
        <v>3814</v>
      </c>
      <c r="BF232" t="str">
        <f>HYPERLINK("http://dx.doi.org/10.1016/S0031-0182(03)00662-X","http://dx.doi.org/10.1016/S0031-0182(03)00662-X")</f>
        <v>http://dx.doi.org/10.1016/S0031-0182(03)00662-X</v>
      </c>
      <c r="BG232" t="s">
        <v>74</v>
      </c>
      <c r="BH232" t="s">
        <v>74</v>
      </c>
      <c r="BI232">
        <v>11</v>
      </c>
      <c r="BJ232" t="s">
        <v>538</v>
      </c>
      <c r="BK232" t="s">
        <v>96</v>
      </c>
      <c r="BL232" t="s">
        <v>539</v>
      </c>
      <c r="BM232" t="s">
        <v>3815</v>
      </c>
      <c r="BN232" t="s">
        <v>74</v>
      </c>
      <c r="BO232" t="s">
        <v>74</v>
      </c>
      <c r="BP232" t="s">
        <v>74</v>
      </c>
      <c r="BQ232" t="s">
        <v>74</v>
      </c>
      <c r="BR232" t="s">
        <v>99</v>
      </c>
      <c r="BS232" t="s">
        <v>3816</v>
      </c>
      <c r="BT232" t="str">
        <f>HYPERLINK("https%3A%2F%2Fwww.webofscience.com%2Fwos%2Fwoscc%2Ffull-record%2FWOS:000188586700005","View Full Record in Web of Science")</f>
        <v>View Full Record in Web of Science</v>
      </c>
    </row>
    <row r="233" spans="1:72" x14ac:dyDescent="0.15">
      <c r="A233" t="s">
        <v>72</v>
      </c>
      <c r="B233" t="s">
        <v>3817</v>
      </c>
      <c r="C233" t="s">
        <v>74</v>
      </c>
      <c r="D233" t="s">
        <v>74</v>
      </c>
      <c r="E233" t="s">
        <v>74</v>
      </c>
      <c r="F233" t="s">
        <v>3817</v>
      </c>
      <c r="G233" t="s">
        <v>74</v>
      </c>
      <c r="H233" t="s">
        <v>74</v>
      </c>
      <c r="I233" t="s">
        <v>3818</v>
      </c>
      <c r="J233" t="s">
        <v>3819</v>
      </c>
      <c r="K233" t="s">
        <v>74</v>
      </c>
      <c r="L233" t="s">
        <v>74</v>
      </c>
      <c r="M233" t="s">
        <v>77</v>
      </c>
      <c r="N233" t="s">
        <v>78</v>
      </c>
      <c r="O233" t="s">
        <v>74</v>
      </c>
      <c r="P233" t="s">
        <v>74</v>
      </c>
      <c r="Q233" t="s">
        <v>74</v>
      </c>
      <c r="R233" t="s">
        <v>74</v>
      </c>
      <c r="S233" t="s">
        <v>74</v>
      </c>
      <c r="T233" t="s">
        <v>3820</v>
      </c>
      <c r="U233" t="s">
        <v>3821</v>
      </c>
      <c r="V233" t="s">
        <v>3822</v>
      </c>
      <c r="W233" t="s">
        <v>3823</v>
      </c>
      <c r="X233" t="s">
        <v>3824</v>
      </c>
      <c r="Y233" t="s">
        <v>3825</v>
      </c>
      <c r="Z233" t="s">
        <v>3826</v>
      </c>
      <c r="AA233" t="s">
        <v>74</v>
      </c>
      <c r="AB233" t="s">
        <v>3827</v>
      </c>
      <c r="AC233" t="s">
        <v>74</v>
      </c>
      <c r="AD233" t="s">
        <v>74</v>
      </c>
      <c r="AE233" t="s">
        <v>74</v>
      </c>
      <c r="AF233" t="s">
        <v>74</v>
      </c>
      <c r="AG233">
        <v>37</v>
      </c>
      <c r="AH233">
        <v>63</v>
      </c>
      <c r="AI233">
        <v>70</v>
      </c>
      <c r="AJ233">
        <v>1</v>
      </c>
      <c r="AK233">
        <v>14</v>
      </c>
      <c r="AL233" t="s">
        <v>235</v>
      </c>
      <c r="AM233" t="s">
        <v>87</v>
      </c>
      <c r="AN233" t="s">
        <v>236</v>
      </c>
      <c r="AO233" t="s">
        <v>3828</v>
      </c>
      <c r="AP233" t="s">
        <v>74</v>
      </c>
      <c r="AQ233" t="s">
        <v>74</v>
      </c>
      <c r="AR233" t="s">
        <v>3829</v>
      </c>
      <c r="AS233" t="s">
        <v>3830</v>
      </c>
      <c r="AT233" t="s">
        <v>3749</v>
      </c>
      <c r="AU233">
        <v>2004</v>
      </c>
      <c r="AV233">
        <v>89</v>
      </c>
      <c r="AW233">
        <v>1</v>
      </c>
      <c r="AX233" t="s">
        <v>74</v>
      </c>
      <c r="AY233" t="s">
        <v>74</v>
      </c>
      <c r="AZ233" t="s">
        <v>74</v>
      </c>
      <c r="BA233" t="s">
        <v>74</v>
      </c>
      <c r="BB233">
        <v>83</v>
      </c>
      <c r="BC233">
        <v>94</v>
      </c>
      <c r="BD233" t="s">
        <v>74</v>
      </c>
      <c r="BE233" t="s">
        <v>3831</v>
      </c>
      <c r="BF233" t="str">
        <f>HYPERLINK("http://dx.doi.org/10.1016/j.rse.2003.10.006","http://dx.doi.org/10.1016/j.rse.2003.10.006")</f>
        <v>http://dx.doi.org/10.1016/j.rse.2003.10.006</v>
      </c>
      <c r="BG233" t="s">
        <v>74</v>
      </c>
      <c r="BH233" t="s">
        <v>74</v>
      </c>
      <c r="BI233">
        <v>12</v>
      </c>
      <c r="BJ233" t="s">
        <v>3832</v>
      </c>
      <c r="BK233" t="s">
        <v>96</v>
      </c>
      <c r="BL233" t="s">
        <v>3833</v>
      </c>
      <c r="BM233" t="s">
        <v>3834</v>
      </c>
      <c r="BN233" t="s">
        <v>74</v>
      </c>
      <c r="BO233" t="s">
        <v>74</v>
      </c>
      <c r="BP233" t="s">
        <v>74</v>
      </c>
      <c r="BQ233" t="s">
        <v>74</v>
      </c>
      <c r="BR233" t="s">
        <v>99</v>
      </c>
      <c r="BS233" t="s">
        <v>3835</v>
      </c>
      <c r="BT233" t="str">
        <f>HYPERLINK("https%3A%2F%2Fwww.webofscience.com%2Fwos%2Fwoscc%2Ffull-record%2FWOS:000187879000007","View Full Record in Web of Science")</f>
        <v>View Full Record in Web of Science</v>
      </c>
    </row>
    <row r="234" spans="1:72" x14ac:dyDescent="0.15">
      <c r="A234" t="s">
        <v>72</v>
      </c>
      <c r="B234" t="s">
        <v>3836</v>
      </c>
      <c r="C234" t="s">
        <v>74</v>
      </c>
      <c r="D234" t="s">
        <v>74</v>
      </c>
      <c r="E234" t="s">
        <v>74</v>
      </c>
      <c r="F234" t="s">
        <v>3836</v>
      </c>
      <c r="G234" t="s">
        <v>74</v>
      </c>
      <c r="H234" t="s">
        <v>74</v>
      </c>
      <c r="I234" t="s">
        <v>3837</v>
      </c>
      <c r="J234" t="s">
        <v>3838</v>
      </c>
      <c r="K234" t="s">
        <v>74</v>
      </c>
      <c r="L234" t="s">
        <v>74</v>
      </c>
      <c r="M234" t="s">
        <v>77</v>
      </c>
      <c r="N234" t="s">
        <v>78</v>
      </c>
      <c r="O234" t="s">
        <v>74</v>
      </c>
      <c r="P234" t="s">
        <v>74</v>
      </c>
      <c r="Q234" t="s">
        <v>74</v>
      </c>
      <c r="R234" t="s">
        <v>74</v>
      </c>
      <c r="S234" t="s">
        <v>74</v>
      </c>
      <c r="T234" t="s">
        <v>3839</v>
      </c>
      <c r="U234" t="s">
        <v>3840</v>
      </c>
      <c r="V234" t="s">
        <v>3841</v>
      </c>
      <c r="W234" t="s">
        <v>3842</v>
      </c>
      <c r="X234" t="s">
        <v>3843</v>
      </c>
      <c r="Y234" t="s">
        <v>3844</v>
      </c>
      <c r="Z234" t="s">
        <v>3845</v>
      </c>
      <c r="AA234" t="s">
        <v>74</v>
      </c>
      <c r="AB234" t="s">
        <v>74</v>
      </c>
      <c r="AC234" t="s">
        <v>74</v>
      </c>
      <c r="AD234" t="s">
        <v>74</v>
      </c>
      <c r="AE234" t="s">
        <v>74</v>
      </c>
      <c r="AF234" t="s">
        <v>74</v>
      </c>
      <c r="AG234">
        <v>31</v>
      </c>
      <c r="AH234">
        <v>94</v>
      </c>
      <c r="AI234">
        <v>103</v>
      </c>
      <c r="AJ234">
        <v>0</v>
      </c>
      <c r="AK234">
        <v>16</v>
      </c>
      <c r="AL234" t="s">
        <v>528</v>
      </c>
      <c r="AM234" t="s">
        <v>529</v>
      </c>
      <c r="AN234" t="s">
        <v>530</v>
      </c>
      <c r="AO234" t="s">
        <v>3846</v>
      </c>
      <c r="AP234" t="s">
        <v>3847</v>
      </c>
      <c r="AQ234" t="s">
        <v>74</v>
      </c>
      <c r="AR234" t="s">
        <v>3848</v>
      </c>
      <c r="AS234" t="s">
        <v>3849</v>
      </c>
      <c r="AT234" t="s">
        <v>3850</v>
      </c>
      <c r="AU234">
        <v>2004</v>
      </c>
      <c r="AV234">
        <v>1696</v>
      </c>
      <c r="AW234">
        <v>1</v>
      </c>
      <c r="AX234" t="s">
        <v>74</v>
      </c>
      <c r="AY234" t="s">
        <v>74</v>
      </c>
      <c r="AZ234" t="s">
        <v>74</v>
      </c>
      <c r="BA234" t="s">
        <v>74</v>
      </c>
      <c r="BB234">
        <v>59</v>
      </c>
      <c r="BC234">
        <v>65</v>
      </c>
      <c r="BD234" t="s">
        <v>74</v>
      </c>
      <c r="BE234" t="s">
        <v>3851</v>
      </c>
      <c r="BF234" t="str">
        <f>HYPERLINK("http://dx.doi.org/10.1016/j.bbapap.2003.09.008","http://dx.doi.org/10.1016/j.bbapap.2003.09.008")</f>
        <v>http://dx.doi.org/10.1016/j.bbapap.2003.09.008</v>
      </c>
      <c r="BG234" t="s">
        <v>74</v>
      </c>
      <c r="BH234" t="s">
        <v>74</v>
      </c>
      <c r="BI234">
        <v>7</v>
      </c>
      <c r="BJ234" t="s">
        <v>3852</v>
      </c>
      <c r="BK234" t="s">
        <v>96</v>
      </c>
      <c r="BL234" t="s">
        <v>3852</v>
      </c>
      <c r="BM234" t="s">
        <v>3853</v>
      </c>
      <c r="BN234">
        <v>14726205</v>
      </c>
      <c r="BO234" t="s">
        <v>74</v>
      </c>
      <c r="BP234" t="s">
        <v>74</v>
      </c>
      <c r="BQ234" t="s">
        <v>74</v>
      </c>
      <c r="BR234" t="s">
        <v>99</v>
      </c>
      <c r="BS234" t="s">
        <v>3854</v>
      </c>
      <c r="BT234" t="str">
        <f>HYPERLINK("https%3A%2F%2Fwww.webofscience.com%2Fwos%2Fwoscc%2Ffull-record%2FWOS:000188511300007","View Full Record in Web of Science")</f>
        <v>View Full Record in Web of Science</v>
      </c>
    </row>
    <row r="235" spans="1:72" x14ac:dyDescent="0.15">
      <c r="A235" t="s">
        <v>72</v>
      </c>
      <c r="B235" t="s">
        <v>3855</v>
      </c>
      <c r="C235" t="s">
        <v>74</v>
      </c>
      <c r="D235" t="s">
        <v>74</v>
      </c>
      <c r="E235" t="s">
        <v>74</v>
      </c>
      <c r="F235" t="s">
        <v>3855</v>
      </c>
      <c r="G235" t="s">
        <v>74</v>
      </c>
      <c r="H235" t="s">
        <v>74</v>
      </c>
      <c r="I235" t="s">
        <v>3856</v>
      </c>
      <c r="J235" t="s">
        <v>3857</v>
      </c>
      <c r="K235" t="s">
        <v>74</v>
      </c>
      <c r="L235" t="s">
        <v>74</v>
      </c>
      <c r="M235" t="s">
        <v>77</v>
      </c>
      <c r="N235" t="s">
        <v>311</v>
      </c>
      <c r="O235" t="s">
        <v>3858</v>
      </c>
      <c r="P235" t="s">
        <v>3859</v>
      </c>
      <c r="Q235" t="s">
        <v>3860</v>
      </c>
      <c r="R235" t="s">
        <v>74</v>
      </c>
      <c r="S235" t="s">
        <v>74</v>
      </c>
      <c r="T235" t="s">
        <v>3861</v>
      </c>
      <c r="U235" t="s">
        <v>3862</v>
      </c>
      <c r="V235" t="s">
        <v>3863</v>
      </c>
      <c r="W235" t="s">
        <v>3864</v>
      </c>
      <c r="X235" t="s">
        <v>3865</v>
      </c>
      <c r="Y235" t="s">
        <v>3866</v>
      </c>
      <c r="Z235" t="s">
        <v>74</v>
      </c>
      <c r="AA235" t="s">
        <v>3867</v>
      </c>
      <c r="AB235" t="s">
        <v>3868</v>
      </c>
      <c r="AC235" t="s">
        <v>74</v>
      </c>
      <c r="AD235" t="s">
        <v>74</v>
      </c>
      <c r="AE235" t="s">
        <v>74</v>
      </c>
      <c r="AF235" t="s">
        <v>74</v>
      </c>
      <c r="AG235">
        <v>33</v>
      </c>
      <c r="AH235">
        <v>17</v>
      </c>
      <c r="AI235">
        <v>18</v>
      </c>
      <c r="AJ235">
        <v>1</v>
      </c>
      <c r="AK235">
        <v>12</v>
      </c>
      <c r="AL235" t="s">
        <v>3869</v>
      </c>
      <c r="AM235" t="s">
        <v>3870</v>
      </c>
      <c r="AN235" t="s">
        <v>3871</v>
      </c>
      <c r="AO235" t="s">
        <v>3872</v>
      </c>
      <c r="AP235" t="s">
        <v>74</v>
      </c>
      <c r="AQ235" t="s">
        <v>74</v>
      </c>
      <c r="AR235" t="s">
        <v>3873</v>
      </c>
      <c r="AS235" t="s">
        <v>3874</v>
      </c>
      <c r="AT235" t="s">
        <v>3850</v>
      </c>
      <c r="AU235">
        <v>2004</v>
      </c>
      <c r="AV235">
        <v>362</v>
      </c>
      <c r="AW235" t="s">
        <v>536</v>
      </c>
      <c r="AX235" t="s">
        <v>74</v>
      </c>
      <c r="AY235" t="s">
        <v>74</v>
      </c>
      <c r="AZ235" t="s">
        <v>74</v>
      </c>
      <c r="BA235" t="s">
        <v>74</v>
      </c>
      <c r="BB235">
        <v>107</v>
      </c>
      <c r="BC235">
        <v>115</v>
      </c>
      <c r="BD235" t="s">
        <v>74</v>
      </c>
      <c r="BE235" t="s">
        <v>3875</v>
      </c>
      <c r="BF235" t="str">
        <f>HYPERLINK("http://dx.doi.org/10.1016/S0925-8388(03)00570-X","http://dx.doi.org/10.1016/S0925-8388(03)00570-X")</f>
        <v>http://dx.doi.org/10.1016/S0925-8388(03)00570-X</v>
      </c>
      <c r="BG235" t="s">
        <v>74</v>
      </c>
      <c r="BH235" t="s">
        <v>74</v>
      </c>
      <c r="BI235">
        <v>9</v>
      </c>
      <c r="BJ235" t="s">
        <v>3876</v>
      </c>
      <c r="BK235" t="s">
        <v>1116</v>
      </c>
      <c r="BL235" t="s">
        <v>3877</v>
      </c>
      <c r="BM235" t="s">
        <v>3878</v>
      </c>
      <c r="BN235" t="s">
        <v>74</v>
      </c>
      <c r="BO235" t="s">
        <v>74</v>
      </c>
      <c r="BP235" t="s">
        <v>74</v>
      </c>
      <c r="BQ235" t="s">
        <v>74</v>
      </c>
      <c r="BR235" t="s">
        <v>99</v>
      </c>
      <c r="BS235" t="s">
        <v>3879</v>
      </c>
      <c r="BT235" t="str">
        <f>HYPERLINK("https%3A%2F%2Fwww.webofscience.com%2Fwos%2Fwoscc%2Ffull-record%2FWOS:000187557200018","View Full Record in Web of Science")</f>
        <v>View Full Record in Web of Science</v>
      </c>
    </row>
    <row r="236" spans="1:72" x14ac:dyDescent="0.15">
      <c r="A236" t="s">
        <v>72</v>
      </c>
      <c r="B236" t="s">
        <v>3880</v>
      </c>
      <c r="C236" t="s">
        <v>74</v>
      </c>
      <c r="D236" t="s">
        <v>74</v>
      </c>
      <c r="E236" t="s">
        <v>74</v>
      </c>
      <c r="F236" t="s">
        <v>3880</v>
      </c>
      <c r="G236" t="s">
        <v>74</v>
      </c>
      <c r="H236" t="s">
        <v>74</v>
      </c>
      <c r="I236" t="s">
        <v>3881</v>
      </c>
      <c r="J236" t="s">
        <v>356</v>
      </c>
      <c r="K236" t="s">
        <v>74</v>
      </c>
      <c r="L236" t="s">
        <v>74</v>
      </c>
      <c r="M236" t="s">
        <v>77</v>
      </c>
      <c r="N236" t="s">
        <v>78</v>
      </c>
      <c r="O236" t="s">
        <v>74</v>
      </c>
      <c r="P236" t="s">
        <v>74</v>
      </c>
      <c r="Q236" t="s">
        <v>74</v>
      </c>
      <c r="R236" t="s">
        <v>74</v>
      </c>
      <c r="S236" t="s">
        <v>74</v>
      </c>
      <c r="T236" t="s">
        <v>3882</v>
      </c>
      <c r="U236" t="s">
        <v>3883</v>
      </c>
      <c r="V236" t="s">
        <v>3884</v>
      </c>
      <c r="W236" t="s">
        <v>3885</v>
      </c>
      <c r="X236" t="s">
        <v>3886</v>
      </c>
      <c r="Y236" t="s">
        <v>3887</v>
      </c>
      <c r="Z236" t="s">
        <v>3888</v>
      </c>
      <c r="AA236" t="s">
        <v>3889</v>
      </c>
      <c r="AB236" t="s">
        <v>3890</v>
      </c>
      <c r="AC236" t="s">
        <v>74</v>
      </c>
      <c r="AD236" t="s">
        <v>74</v>
      </c>
      <c r="AE236" t="s">
        <v>74</v>
      </c>
      <c r="AF236" t="s">
        <v>74</v>
      </c>
      <c r="AG236">
        <v>38</v>
      </c>
      <c r="AH236">
        <v>108</v>
      </c>
      <c r="AI236">
        <v>131</v>
      </c>
      <c r="AJ236">
        <v>2</v>
      </c>
      <c r="AK236">
        <v>67</v>
      </c>
      <c r="AL236" t="s">
        <v>363</v>
      </c>
      <c r="AM236" t="s">
        <v>364</v>
      </c>
      <c r="AN236" t="s">
        <v>365</v>
      </c>
      <c r="AO236" t="s">
        <v>366</v>
      </c>
      <c r="AP236" t="s">
        <v>604</v>
      </c>
      <c r="AQ236" t="s">
        <v>74</v>
      </c>
      <c r="AR236" t="s">
        <v>367</v>
      </c>
      <c r="AS236" t="s">
        <v>368</v>
      </c>
      <c r="AT236" t="s">
        <v>3891</v>
      </c>
      <c r="AU236">
        <v>2004</v>
      </c>
      <c r="AV236">
        <v>18</v>
      </c>
      <c r="AW236">
        <v>1</v>
      </c>
      <c r="AX236" t="s">
        <v>74</v>
      </c>
      <c r="AY236" t="s">
        <v>74</v>
      </c>
      <c r="AZ236" t="s">
        <v>74</v>
      </c>
      <c r="BA236" t="s">
        <v>74</v>
      </c>
      <c r="BB236" t="s">
        <v>74</v>
      </c>
      <c r="BC236" t="s">
        <v>74</v>
      </c>
      <c r="BD236" t="s">
        <v>3892</v>
      </c>
      <c r="BE236" t="s">
        <v>3893</v>
      </c>
      <c r="BF236" t="str">
        <f>HYPERLINK("http://dx.doi.org/10.1029/2003GB002133","http://dx.doi.org/10.1029/2003GB002133")</f>
        <v>http://dx.doi.org/10.1029/2003GB002133</v>
      </c>
      <c r="BG236" t="s">
        <v>74</v>
      </c>
      <c r="BH236" t="s">
        <v>74</v>
      </c>
      <c r="BI236">
        <v>10</v>
      </c>
      <c r="BJ236" t="s">
        <v>372</v>
      </c>
      <c r="BK236" t="s">
        <v>96</v>
      </c>
      <c r="BL236" t="s">
        <v>373</v>
      </c>
      <c r="BM236" t="s">
        <v>3894</v>
      </c>
      <c r="BN236" t="s">
        <v>74</v>
      </c>
      <c r="BO236" t="s">
        <v>541</v>
      </c>
      <c r="BP236" t="s">
        <v>74</v>
      </c>
      <c r="BQ236" t="s">
        <v>74</v>
      </c>
      <c r="BR236" t="s">
        <v>99</v>
      </c>
      <c r="BS236" t="s">
        <v>3895</v>
      </c>
      <c r="BT236" t="str">
        <f>HYPERLINK("https%3A%2F%2Fwww.webofscience.com%2Fwos%2Fwoscc%2Ffull-record%2FWOS:000188286800002","View Full Record in Web of Science")</f>
        <v>View Full Record in Web of Science</v>
      </c>
    </row>
    <row r="237" spans="1:72" x14ac:dyDescent="0.15">
      <c r="A237" t="s">
        <v>72</v>
      </c>
      <c r="B237" t="s">
        <v>3896</v>
      </c>
      <c r="C237" t="s">
        <v>74</v>
      </c>
      <c r="D237" t="s">
        <v>74</v>
      </c>
      <c r="E237" t="s">
        <v>74</v>
      </c>
      <c r="F237" t="s">
        <v>3896</v>
      </c>
      <c r="G237" t="s">
        <v>74</v>
      </c>
      <c r="H237" t="s">
        <v>74</v>
      </c>
      <c r="I237" t="s">
        <v>3897</v>
      </c>
      <c r="J237" t="s">
        <v>3898</v>
      </c>
      <c r="K237" t="s">
        <v>74</v>
      </c>
      <c r="L237" t="s">
        <v>74</v>
      </c>
      <c r="M237" t="s">
        <v>77</v>
      </c>
      <c r="N237" t="s">
        <v>442</v>
      </c>
      <c r="O237" t="s">
        <v>74</v>
      </c>
      <c r="P237" t="s">
        <v>74</v>
      </c>
      <c r="Q237" t="s">
        <v>74</v>
      </c>
      <c r="R237" t="s">
        <v>74</v>
      </c>
      <c r="S237" t="s">
        <v>74</v>
      </c>
      <c r="T237" t="s">
        <v>74</v>
      </c>
      <c r="U237" t="s">
        <v>74</v>
      </c>
      <c r="V237" t="s">
        <v>74</v>
      </c>
      <c r="W237" t="s">
        <v>3899</v>
      </c>
      <c r="X237" t="s">
        <v>1808</v>
      </c>
      <c r="Y237" t="s">
        <v>3900</v>
      </c>
      <c r="Z237" t="s">
        <v>3901</v>
      </c>
      <c r="AA237" t="s">
        <v>74</v>
      </c>
      <c r="AB237" t="s">
        <v>74</v>
      </c>
      <c r="AC237" t="s">
        <v>74</v>
      </c>
      <c r="AD237" t="s">
        <v>74</v>
      </c>
      <c r="AE237" t="s">
        <v>74</v>
      </c>
      <c r="AF237" t="s">
        <v>74</v>
      </c>
      <c r="AG237">
        <v>1</v>
      </c>
      <c r="AH237">
        <v>0</v>
      </c>
      <c r="AI237">
        <v>0</v>
      </c>
      <c r="AJ237">
        <v>0</v>
      </c>
      <c r="AK237">
        <v>0</v>
      </c>
      <c r="AL237" t="s">
        <v>3902</v>
      </c>
      <c r="AM237" t="s">
        <v>3903</v>
      </c>
      <c r="AN237" t="s">
        <v>3904</v>
      </c>
      <c r="AO237" t="s">
        <v>3905</v>
      </c>
      <c r="AP237" t="s">
        <v>74</v>
      </c>
      <c r="AQ237" t="s">
        <v>74</v>
      </c>
      <c r="AR237" t="s">
        <v>3906</v>
      </c>
      <c r="AS237" t="s">
        <v>3907</v>
      </c>
      <c r="AT237" t="s">
        <v>3908</v>
      </c>
      <c r="AU237">
        <v>2004</v>
      </c>
      <c r="AV237">
        <v>180</v>
      </c>
      <c r="AW237">
        <v>1</v>
      </c>
      <c r="AX237" t="s">
        <v>74</v>
      </c>
      <c r="AY237" t="s">
        <v>74</v>
      </c>
      <c r="AZ237" t="s">
        <v>74</v>
      </c>
      <c r="BA237" t="s">
        <v>74</v>
      </c>
      <c r="BB237">
        <v>47</v>
      </c>
      <c r="BC237">
        <v>47</v>
      </c>
      <c r="BD237" t="s">
        <v>74</v>
      </c>
      <c r="BE237" t="s">
        <v>3909</v>
      </c>
      <c r="BF237" t="str">
        <f>HYPERLINK("http://dx.doi.org/10.5694/j.1326-5377.2004.tb05784.x","http://dx.doi.org/10.5694/j.1326-5377.2004.tb05784.x")</f>
        <v>http://dx.doi.org/10.5694/j.1326-5377.2004.tb05784.x</v>
      </c>
      <c r="BG237" t="s">
        <v>74</v>
      </c>
      <c r="BH237" t="s">
        <v>74</v>
      </c>
      <c r="BI237">
        <v>1</v>
      </c>
      <c r="BJ237" t="s">
        <v>3910</v>
      </c>
      <c r="BK237" t="s">
        <v>96</v>
      </c>
      <c r="BL237" t="s">
        <v>3911</v>
      </c>
      <c r="BM237" t="s">
        <v>3912</v>
      </c>
      <c r="BN237">
        <v>14709134</v>
      </c>
      <c r="BO237" t="s">
        <v>74</v>
      </c>
      <c r="BP237" t="s">
        <v>74</v>
      </c>
      <c r="BQ237" t="s">
        <v>74</v>
      </c>
      <c r="BR237" t="s">
        <v>99</v>
      </c>
      <c r="BS237" t="s">
        <v>3913</v>
      </c>
      <c r="BT237" t="str">
        <f>HYPERLINK("https%3A%2F%2Fwww.webofscience.com%2Fwos%2Fwoscc%2Ffull-record%2FWOS:000187975400021","View Full Record in Web of Science")</f>
        <v>View Full Record in Web of Science</v>
      </c>
    </row>
    <row r="238" spans="1:72" x14ac:dyDescent="0.15">
      <c r="A238" t="s">
        <v>72</v>
      </c>
      <c r="B238" t="s">
        <v>3914</v>
      </c>
      <c r="C238" t="s">
        <v>74</v>
      </c>
      <c r="D238" t="s">
        <v>74</v>
      </c>
      <c r="E238" t="s">
        <v>74</v>
      </c>
      <c r="F238" t="s">
        <v>3914</v>
      </c>
      <c r="G238" t="s">
        <v>74</v>
      </c>
      <c r="H238" t="s">
        <v>74</v>
      </c>
      <c r="I238" t="s">
        <v>3915</v>
      </c>
      <c r="J238" t="s">
        <v>3916</v>
      </c>
      <c r="K238" t="s">
        <v>74</v>
      </c>
      <c r="L238" t="s">
        <v>74</v>
      </c>
      <c r="M238" t="s">
        <v>77</v>
      </c>
      <c r="N238" t="s">
        <v>78</v>
      </c>
      <c r="O238" t="s">
        <v>74</v>
      </c>
      <c r="P238" t="s">
        <v>74</v>
      </c>
      <c r="Q238" t="s">
        <v>74</v>
      </c>
      <c r="R238" t="s">
        <v>74</v>
      </c>
      <c r="S238" t="s">
        <v>74</v>
      </c>
      <c r="T238" t="s">
        <v>74</v>
      </c>
      <c r="U238" t="s">
        <v>3917</v>
      </c>
      <c r="V238" t="s">
        <v>3918</v>
      </c>
      <c r="W238" t="s">
        <v>3919</v>
      </c>
      <c r="X238" t="s">
        <v>3920</v>
      </c>
      <c r="Y238" t="s">
        <v>3921</v>
      </c>
      <c r="Z238" t="s">
        <v>3922</v>
      </c>
      <c r="AA238" t="s">
        <v>3923</v>
      </c>
      <c r="AB238" t="s">
        <v>3924</v>
      </c>
      <c r="AC238" t="s">
        <v>74</v>
      </c>
      <c r="AD238" t="s">
        <v>74</v>
      </c>
      <c r="AE238" t="s">
        <v>74</v>
      </c>
      <c r="AF238" t="s">
        <v>74</v>
      </c>
      <c r="AG238">
        <v>20</v>
      </c>
      <c r="AH238">
        <v>223</v>
      </c>
      <c r="AI238">
        <v>257</v>
      </c>
      <c r="AJ238">
        <v>0</v>
      </c>
      <c r="AK238">
        <v>38</v>
      </c>
      <c r="AL238" t="s">
        <v>3925</v>
      </c>
      <c r="AM238" t="s">
        <v>364</v>
      </c>
      <c r="AN238" t="s">
        <v>3926</v>
      </c>
      <c r="AO238" t="s">
        <v>3927</v>
      </c>
      <c r="AP238" t="s">
        <v>3928</v>
      </c>
      <c r="AQ238" t="s">
        <v>74</v>
      </c>
      <c r="AR238" t="s">
        <v>3916</v>
      </c>
      <c r="AS238" t="s">
        <v>3929</v>
      </c>
      <c r="AT238" t="s">
        <v>3930</v>
      </c>
      <c r="AU238">
        <v>2004</v>
      </c>
      <c r="AV238">
        <v>303</v>
      </c>
      <c r="AW238">
        <v>5654</v>
      </c>
      <c r="AX238" t="s">
        <v>74</v>
      </c>
      <c r="AY238" t="s">
        <v>74</v>
      </c>
      <c r="AZ238" t="s">
        <v>74</v>
      </c>
      <c r="BA238" t="s">
        <v>74</v>
      </c>
      <c r="BB238">
        <v>52</v>
      </c>
      <c r="BC238">
        <v>56</v>
      </c>
      <c r="BD238" t="s">
        <v>74</v>
      </c>
      <c r="BE238" t="s">
        <v>3931</v>
      </c>
      <c r="BF238" t="str">
        <f>HYPERLINK("http://dx.doi.org/10.1126/science.1085219","http://dx.doi.org/10.1126/science.1085219")</f>
        <v>http://dx.doi.org/10.1126/science.1085219</v>
      </c>
      <c r="BG238" t="s">
        <v>74</v>
      </c>
      <c r="BH238" t="s">
        <v>74</v>
      </c>
      <c r="BI238">
        <v>5</v>
      </c>
      <c r="BJ238" t="s">
        <v>454</v>
      </c>
      <c r="BK238" t="s">
        <v>96</v>
      </c>
      <c r="BL238" t="s">
        <v>455</v>
      </c>
      <c r="BM238" t="s">
        <v>3932</v>
      </c>
      <c r="BN238">
        <v>14704419</v>
      </c>
      <c r="BO238" t="s">
        <v>74</v>
      </c>
      <c r="BP238" t="s">
        <v>74</v>
      </c>
      <c r="BQ238" t="s">
        <v>74</v>
      </c>
      <c r="BR238" t="s">
        <v>99</v>
      </c>
      <c r="BS238" t="s">
        <v>3933</v>
      </c>
      <c r="BT238" t="str">
        <f>HYPERLINK("https%3A%2F%2Fwww.webofscience.com%2Fwos%2Fwoscc%2Ffull-record%2FWOS:000187710600028","View Full Record in Web of Science")</f>
        <v>View Full Record in Web of Science</v>
      </c>
    </row>
    <row r="239" spans="1:72" x14ac:dyDescent="0.15">
      <c r="A239" t="s">
        <v>3934</v>
      </c>
      <c r="B239" t="s">
        <v>3935</v>
      </c>
      <c r="C239" t="s">
        <v>74</v>
      </c>
      <c r="D239" t="s">
        <v>74</v>
      </c>
      <c r="E239" t="s">
        <v>3936</v>
      </c>
      <c r="F239" t="s">
        <v>3935</v>
      </c>
      <c r="G239" t="s">
        <v>74</v>
      </c>
      <c r="H239" t="s">
        <v>74</v>
      </c>
      <c r="I239" t="s">
        <v>3937</v>
      </c>
      <c r="J239" t="s">
        <v>3938</v>
      </c>
      <c r="K239" t="s">
        <v>3939</v>
      </c>
      <c r="L239" t="s">
        <v>74</v>
      </c>
      <c r="M239" t="s">
        <v>77</v>
      </c>
      <c r="N239" t="s">
        <v>3940</v>
      </c>
      <c r="O239" t="s">
        <v>3941</v>
      </c>
      <c r="P239" t="s">
        <v>3942</v>
      </c>
      <c r="Q239" t="s">
        <v>3943</v>
      </c>
      <c r="R239" t="s">
        <v>74</v>
      </c>
      <c r="S239" t="s">
        <v>74</v>
      </c>
      <c r="T239" t="s">
        <v>74</v>
      </c>
      <c r="U239" t="s">
        <v>74</v>
      </c>
      <c r="V239" t="s">
        <v>3944</v>
      </c>
      <c r="W239" t="s">
        <v>3945</v>
      </c>
      <c r="X239" t="s">
        <v>3946</v>
      </c>
      <c r="Y239" t="s">
        <v>3947</v>
      </c>
      <c r="Z239" t="s">
        <v>74</v>
      </c>
      <c r="AA239" t="s">
        <v>74</v>
      </c>
      <c r="AB239" t="s">
        <v>74</v>
      </c>
      <c r="AC239" t="s">
        <v>74</v>
      </c>
      <c r="AD239" t="s">
        <v>74</v>
      </c>
      <c r="AE239" t="s">
        <v>74</v>
      </c>
      <c r="AF239" t="s">
        <v>74</v>
      </c>
      <c r="AG239">
        <v>5</v>
      </c>
      <c r="AH239">
        <v>11</v>
      </c>
      <c r="AI239">
        <v>13</v>
      </c>
      <c r="AJ239">
        <v>0</v>
      </c>
      <c r="AK239">
        <v>4</v>
      </c>
      <c r="AL239" t="s">
        <v>3948</v>
      </c>
      <c r="AM239" t="s">
        <v>87</v>
      </c>
      <c r="AN239" t="s">
        <v>3949</v>
      </c>
      <c r="AO239" t="s">
        <v>3950</v>
      </c>
      <c r="AP239" t="s">
        <v>74</v>
      </c>
      <c r="AQ239" t="s">
        <v>3951</v>
      </c>
      <c r="AR239" t="s">
        <v>3952</v>
      </c>
      <c r="AS239" t="s">
        <v>74</v>
      </c>
      <c r="AT239" t="s">
        <v>74</v>
      </c>
      <c r="AU239">
        <v>2004</v>
      </c>
      <c r="AV239" t="s">
        <v>74</v>
      </c>
      <c r="AW239" t="s">
        <v>74</v>
      </c>
      <c r="AX239" t="s">
        <v>74</v>
      </c>
      <c r="AY239" t="s">
        <v>74</v>
      </c>
      <c r="AZ239" t="s">
        <v>74</v>
      </c>
      <c r="BA239" t="s">
        <v>74</v>
      </c>
      <c r="BB239">
        <v>388</v>
      </c>
      <c r="BC239">
        <v>395</v>
      </c>
      <c r="BD239" t="s">
        <v>74</v>
      </c>
      <c r="BE239" t="s">
        <v>3953</v>
      </c>
      <c r="BF239" t="str">
        <f>HYPERLINK("http://dx.doi.org/10.1109/AERO.2004.1367622","http://dx.doi.org/10.1109/AERO.2004.1367622")</f>
        <v>http://dx.doi.org/10.1109/AERO.2004.1367622</v>
      </c>
      <c r="BG239" t="s">
        <v>74</v>
      </c>
      <c r="BH239" t="s">
        <v>74</v>
      </c>
      <c r="BI239">
        <v>8</v>
      </c>
      <c r="BJ239" t="s">
        <v>3954</v>
      </c>
      <c r="BK239" t="s">
        <v>3955</v>
      </c>
      <c r="BL239" t="s">
        <v>3956</v>
      </c>
      <c r="BM239" t="s">
        <v>3957</v>
      </c>
      <c r="BN239" t="s">
        <v>74</v>
      </c>
      <c r="BO239" t="s">
        <v>74</v>
      </c>
      <c r="BP239" t="s">
        <v>74</v>
      </c>
      <c r="BQ239" t="s">
        <v>74</v>
      </c>
      <c r="BR239" t="s">
        <v>99</v>
      </c>
      <c r="BS239" t="s">
        <v>3958</v>
      </c>
      <c r="BT239" t="str">
        <f>HYPERLINK("https%3A%2F%2Fwww.webofscience.com%2Fwos%2Fwoscc%2Ffull-record%2FWOS:000225274000038","View Full Record in Web of Science")</f>
        <v>View Full Record in Web of Science</v>
      </c>
    </row>
    <row r="240" spans="1:72" x14ac:dyDescent="0.15">
      <c r="A240" t="s">
        <v>3934</v>
      </c>
      <c r="B240" t="s">
        <v>3959</v>
      </c>
      <c r="C240" t="s">
        <v>74</v>
      </c>
      <c r="D240" t="s">
        <v>74</v>
      </c>
      <c r="E240" t="s">
        <v>3948</v>
      </c>
      <c r="F240" t="s">
        <v>3959</v>
      </c>
      <c r="G240" t="s">
        <v>74</v>
      </c>
      <c r="H240" t="s">
        <v>74</v>
      </c>
      <c r="I240" t="s">
        <v>3960</v>
      </c>
      <c r="J240" t="s">
        <v>3961</v>
      </c>
      <c r="K240" t="s">
        <v>3962</v>
      </c>
      <c r="L240" t="s">
        <v>74</v>
      </c>
      <c r="M240" t="s">
        <v>77</v>
      </c>
      <c r="N240" t="s">
        <v>3940</v>
      </c>
      <c r="O240" t="s">
        <v>3963</v>
      </c>
      <c r="P240" t="s">
        <v>3964</v>
      </c>
      <c r="Q240" t="s">
        <v>3965</v>
      </c>
      <c r="R240" t="s">
        <v>74</v>
      </c>
      <c r="S240" t="s">
        <v>74</v>
      </c>
      <c r="T240" t="s">
        <v>3966</v>
      </c>
      <c r="U240" t="s">
        <v>3967</v>
      </c>
      <c r="V240" t="s">
        <v>3968</v>
      </c>
      <c r="W240" t="s">
        <v>3969</v>
      </c>
      <c r="X240" t="s">
        <v>3970</v>
      </c>
      <c r="Y240" t="s">
        <v>3971</v>
      </c>
      <c r="Z240" t="s">
        <v>3972</v>
      </c>
      <c r="AA240" t="s">
        <v>3973</v>
      </c>
      <c r="AB240" t="s">
        <v>3974</v>
      </c>
      <c r="AC240" t="s">
        <v>74</v>
      </c>
      <c r="AD240" t="s">
        <v>74</v>
      </c>
      <c r="AE240" t="s">
        <v>74</v>
      </c>
      <c r="AF240" t="s">
        <v>74</v>
      </c>
      <c r="AG240">
        <v>21</v>
      </c>
      <c r="AH240">
        <v>13</v>
      </c>
      <c r="AI240">
        <v>14</v>
      </c>
      <c r="AJ240">
        <v>0</v>
      </c>
      <c r="AK240">
        <v>10</v>
      </c>
      <c r="AL240" t="s">
        <v>3948</v>
      </c>
      <c r="AM240" t="s">
        <v>87</v>
      </c>
      <c r="AN240" t="s">
        <v>3949</v>
      </c>
      <c r="AO240" t="s">
        <v>3975</v>
      </c>
      <c r="AP240" t="s">
        <v>74</v>
      </c>
      <c r="AQ240" t="s">
        <v>3976</v>
      </c>
      <c r="AR240" t="s">
        <v>3977</v>
      </c>
      <c r="AS240" t="s">
        <v>74</v>
      </c>
      <c r="AT240" t="s">
        <v>74</v>
      </c>
      <c r="AU240">
        <v>2004</v>
      </c>
      <c r="AV240" t="s">
        <v>74</v>
      </c>
      <c r="AW240" t="s">
        <v>74</v>
      </c>
      <c r="AX240" t="s">
        <v>74</v>
      </c>
      <c r="AY240" t="s">
        <v>74</v>
      </c>
      <c r="AZ240" t="s">
        <v>74</v>
      </c>
      <c r="BA240" t="s">
        <v>74</v>
      </c>
      <c r="BB240">
        <v>5991</v>
      </c>
      <c r="BC240">
        <v>5996</v>
      </c>
      <c r="BD240" t="s">
        <v>74</v>
      </c>
      <c r="BE240" t="s">
        <v>74</v>
      </c>
      <c r="BF240" t="s">
        <v>74</v>
      </c>
      <c r="BG240" t="s">
        <v>74</v>
      </c>
      <c r="BH240" t="s">
        <v>74</v>
      </c>
      <c r="BI240">
        <v>6</v>
      </c>
      <c r="BJ240" t="s">
        <v>3978</v>
      </c>
      <c r="BK240" t="s">
        <v>3955</v>
      </c>
      <c r="BL240" t="s">
        <v>3979</v>
      </c>
      <c r="BM240" t="s">
        <v>3980</v>
      </c>
      <c r="BN240" t="s">
        <v>74</v>
      </c>
      <c r="BO240" t="s">
        <v>74</v>
      </c>
      <c r="BP240" t="s">
        <v>74</v>
      </c>
      <c r="BQ240" t="s">
        <v>74</v>
      </c>
      <c r="BR240" t="s">
        <v>99</v>
      </c>
      <c r="BS240" t="s">
        <v>3981</v>
      </c>
      <c r="BT240" t="str">
        <f>HYPERLINK("https%3A%2F%2Fwww.webofscience.com%2Fwos%2Fwoscc%2Ffull-record%2FWOS:000226863301009","View Full Record in Web of Science")</f>
        <v>View Full Record in Web of Science</v>
      </c>
    </row>
    <row r="241" spans="1:72" x14ac:dyDescent="0.15">
      <c r="A241" t="s">
        <v>72</v>
      </c>
      <c r="B241" t="s">
        <v>3982</v>
      </c>
      <c r="C241" t="s">
        <v>74</v>
      </c>
      <c r="D241" t="s">
        <v>74</v>
      </c>
      <c r="E241" t="s">
        <v>74</v>
      </c>
      <c r="F241" t="s">
        <v>3982</v>
      </c>
      <c r="G241" t="s">
        <v>74</v>
      </c>
      <c r="H241" t="s">
        <v>74</v>
      </c>
      <c r="I241" t="s">
        <v>3983</v>
      </c>
      <c r="J241" t="s">
        <v>3984</v>
      </c>
      <c r="K241" t="s">
        <v>74</v>
      </c>
      <c r="L241" t="s">
        <v>74</v>
      </c>
      <c r="M241" t="s">
        <v>77</v>
      </c>
      <c r="N241" t="s">
        <v>78</v>
      </c>
      <c r="O241" t="s">
        <v>74</v>
      </c>
      <c r="P241" t="s">
        <v>74</v>
      </c>
      <c r="Q241" t="s">
        <v>74</v>
      </c>
      <c r="R241" t="s">
        <v>74</v>
      </c>
      <c r="S241" t="s">
        <v>74</v>
      </c>
      <c r="T241" t="s">
        <v>3985</v>
      </c>
      <c r="U241" t="s">
        <v>3986</v>
      </c>
      <c r="V241" t="s">
        <v>3987</v>
      </c>
      <c r="W241" t="s">
        <v>3988</v>
      </c>
      <c r="X241" t="s">
        <v>3989</v>
      </c>
      <c r="Y241" t="s">
        <v>3990</v>
      </c>
      <c r="Z241" t="s">
        <v>3991</v>
      </c>
      <c r="AA241" t="s">
        <v>74</v>
      </c>
      <c r="AB241" t="s">
        <v>74</v>
      </c>
      <c r="AC241" t="s">
        <v>74</v>
      </c>
      <c r="AD241" t="s">
        <v>74</v>
      </c>
      <c r="AE241" t="s">
        <v>74</v>
      </c>
      <c r="AF241" t="s">
        <v>74</v>
      </c>
      <c r="AG241">
        <v>55</v>
      </c>
      <c r="AH241">
        <v>19</v>
      </c>
      <c r="AI241">
        <v>25</v>
      </c>
      <c r="AJ241">
        <v>2</v>
      </c>
      <c r="AK241">
        <v>17</v>
      </c>
      <c r="AL241" t="s">
        <v>198</v>
      </c>
      <c r="AM241" t="s">
        <v>178</v>
      </c>
      <c r="AN241" t="s">
        <v>179</v>
      </c>
      <c r="AO241" t="s">
        <v>3992</v>
      </c>
      <c r="AP241" t="s">
        <v>3993</v>
      </c>
      <c r="AQ241" t="s">
        <v>74</v>
      </c>
      <c r="AR241" t="s">
        <v>3994</v>
      </c>
      <c r="AS241" t="s">
        <v>3995</v>
      </c>
      <c r="AT241" t="s">
        <v>74</v>
      </c>
      <c r="AU241">
        <v>2004</v>
      </c>
      <c r="AV241">
        <v>78</v>
      </c>
      <c r="AW241">
        <v>4</v>
      </c>
      <c r="AX241" t="s">
        <v>74</v>
      </c>
      <c r="AY241" t="s">
        <v>74</v>
      </c>
      <c r="AZ241" t="s">
        <v>74</v>
      </c>
      <c r="BA241" t="s">
        <v>74</v>
      </c>
      <c r="BB241">
        <v>970</v>
      </c>
      <c r="BC241">
        <v>981</v>
      </c>
      <c r="BD241" t="s">
        <v>74</v>
      </c>
      <c r="BE241" t="s">
        <v>74</v>
      </c>
      <c r="BF241" t="s">
        <v>74</v>
      </c>
      <c r="BG241" t="s">
        <v>74</v>
      </c>
      <c r="BH241" t="s">
        <v>74</v>
      </c>
      <c r="BI241">
        <v>12</v>
      </c>
      <c r="BJ241" t="s">
        <v>560</v>
      </c>
      <c r="BK241" t="s">
        <v>96</v>
      </c>
      <c r="BL241" t="s">
        <v>561</v>
      </c>
      <c r="BM241" t="s">
        <v>3996</v>
      </c>
      <c r="BN241" t="s">
        <v>74</v>
      </c>
      <c r="BO241" t="s">
        <v>74</v>
      </c>
      <c r="BP241" t="s">
        <v>74</v>
      </c>
      <c r="BQ241" t="s">
        <v>74</v>
      </c>
      <c r="BR241" t="s">
        <v>99</v>
      </c>
      <c r="BS241" t="s">
        <v>3997</v>
      </c>
      <c r="BT241" t="str">
        <f>HYPERLINK("https%3A%2F%2Fwww.webofscience.com%2Fwos%2Fwoscc%2Ffull-record%2FWOS:000225082500010","View Full Record in Web of Science")</f>
        <v>View Full Record in Web of Science</v>
      </c>
    </row>
    <row r="242" spans="1:72" x14ac:dyDescent="0.15">
      <c r="A242" t="s">
        <v>72</v>
      </c>
      <c r="B242" t="s">
        <v>3998</v>
      </c>
      <c r="C242" t="s">
        <v>74</v>
      </c>
      <c r="D242" t="s">
        <v>74</v>
      </c>
      <c r="E242" t="s">
        <v>74</v>
      </c>
      <c r="F242" t="s">
        <v>3998</v>
      </c>
      <c r="G242" t="s">
        <v>74</v>
      </c>
      <c r="H242" t="s">
        <v>74</v>
      </c>
      <c r="I242" t="s">
        <v>3999</v>
      </c>
      <c r="J242" t="s">
        <v>3984</v>
      </c>
      <c r="K242" t="s">
        <v>74</v>
      </c>
      <c r="L242" t="s">
        <v>74</v>
      </c>
      <c r="M242" t="s">
        <v>77</v>
      </c>
      <c r="N242" t="s">
        <v>78</v>
      </c>
      <c r="O242" t="s">
        <v>74</v>
      </c>
      <c r="P242" t="s">
        <v>74</v>
      </c>
      <c r="Q242" t="s">
        <v>74</v>
      </c>
      <c r="R242" t="s">
        <v>74</v>
      </c>
      <c r="S242" t="s">
        <v>74</v>
      </c>
      <c r="T242" t="s">
        <v>4000</v>
      </c>
      <c r="U242" t="s">
        <v>4001</v>
      </c>
      <c r="V242" t="s">
        <v>4002</v>
      </c>
      <c r="W242" t="s">
        <v>4003</v>
      </c>
      <c r="X242" t="s">
        <v>4004</v>
      </c>
      <c r="Y242" t="s">
        <v>4005</v>
      </c>
      <c r="Z242" t="s">
        <v>4006</v>
      </c>
      <c r="AA242" t="s">
        <v>4007</v>
      </c>
      <c r="AB242" t="s">
        <v>74</v>
      </c>
      <c r="AC242" t="s">
        <v>74</v>
      </c>
      <c r="AD242" t="s">
        <v>74</v>
      </c>
      <c r="AE242" t="s">
        <v>74</v>
      </c>
      <c r="AF242" t="s">
        <v>74</v>
      </c>
      <c r="AG242">
        <v>24</v>
      </c>
      <c r="AH242">
        <v>6</v>
      </c>
      <c r="AI242">
        <v>17</v>
      </c>
      <c r="AJ242">
        <v>0</v>
      </c>
      <c r="AK242">
        <v>11</v>
      </c>
      <c r="AL242" t="s">
        <v>198</v>
      </c>
      <c r="AM242" t="s">
        <v>178</v>
      </c>
      <c r="AN242" t="s">
        <v>179</v>
      </c>
      <c r="AO242" t="s">
        <v>3992</v>
      </c>
      <c r="AP242" t="s">
        <v>3993</v>
      </c>
      <c r="AQ242" t="s">
        <v>74</v>
      </c>
      <c r="AR242" t="s">
        <v>3994</v>
      </c>
      <c r="AS242" t="s">
        <v>3995</v>
      </c>
      <c r="AT242" t="s">
        <v>74</v>
      </c>
      <c r="AU242">
        <v>2004</v>
      </c>
      <c r="AV242">
        <v>78</v>
      </c>
      <c r="AW242">
        <v>5</v>
      </c>
      <c r="AX242" t="s">
        <v>74</v>
      </c>
      <c r="AY242" t="s">
        <v>74</v>
      </c>
      <c r="AZ242" t="s">
        <v>74</v>
      </c>
      <c r="BA242" t="s">
        <v>74</v>
      </c>
      <c r="BB242">
        <v>1052</v>
      </c>
      <c r="BC242">
        <v>1059</v>
      </c>
      <c r="BD242" t="s">
        <v>74</v>
      </c>
      <c r="BE242" t="s">
        <v>74</v>
      </c>
      <c r="BF242" t="s">
        <v>74</v>
      </c>
      <c r="BG242" t="s">
        <v>74</v>
      </c>
      <c r="BH242" t="s">
        <v>74</v>
      </c>
      <c r="BI242">
        <v>8</v>
      </c>
      <c r="BJ242" t="s">
        <v>560</v>
      </c>
      <c r="BK242" t="s">
        <v>96</v>
      </c>
      <c r="BL242" t="s">
        <v>561</v>
      </c>
      <c r="BM242" t="s">
        <v>4008</v>
      </c>
      <c r="BN242" t="s">
        <v>74</v>
      </c>
      <c r="BO242" t="s">
        <v>74</v>
      </c>
      <c r="BP242" t="s">
        <v>74</v>
      </c>
      <c r="BQ242" t="s">
        <v>74</v>
      </c>
      <c r="BR242" t="s">
        <v>99</v>
      </c>
      <c r="BS242" t="s">
        <v>4009</v>
      </c>
      <c r="BT242" t="str">
        <f>HYPERLINK("https%3A%2F%2Fwww.webofscience.com%2Fwos%2Fwoscc%2Ffull-record%2FWOS:000226387300005","View Full Record in Web of Science")</f>
        <v>View Full Record in Web of Science</v>
      </c>
    </row>
    <row r="243" spans="1:72" x14ac:dyDescent="0.15">
      <c r="A243" t="s">
        <v>72</v>
      </c>
      <c r="B243" t="s">
        <v>4010</v>
      </c>
      <c r="C243" t="s">
        <v>74</v>
      </c>
      <c r="D243" t="s">
        <v>74</v>
      </c>
      <c r="E243" t="s">
        <v>74</v>
      </c>
      <c r="F243" t="s">
        <v>4010</v>
      </c>
      <c r="G243" t="s">
        <v>74</v>
      </c>
      <c r="H243" t="s">
        <v>74</v>
      </c>
      <c r="I243" t="s">
        <v>4011</v>
      </c>
      <c r="J243" t="s">
        <v>4012</v>
      </c>
      <c r="K243" t="s">
        <v>74</v>
      </c>
      <c r="L243" t="s">
        <v>74</v>
      </c>
      <c r="M243" t="s">
        <v>77</v>
      </c>
      <c r="N243" t="s">
        <v>78</v>
      </c>
      <c r="O243" t="s">
        <v>74</v>
      </c>
      <c r="P243" t="s">
        <v>74</v>
      </c>
      <c r="Q243" t="s">
        <v>74</v>
      </c>
      <c r="R243" t="s">
        <v>74</v>
      </c>
      <c r="S243" t="s">
        <v>74</v>
      </c>
      <c r="T243" t="s">
        <v>4013</v>
      </c>
      <c r="U243" t="s">
        <v>74</v>
      </c>
      <c r="V243" t="s">
        <v>4014</v>
      </c>
      <c r="W243" t="s">
        <v>4015</v>
      </c>
      <c r="X243" t="s">
        <v>4016</v>
      </c>
      <c r="Y243" t="s">
        <v>4017</v>
      </c>
      <c r="Z243" t="s">
        <v>4018</v>
      </c>
      <c r="AA243" t="s">
        <v>4019</v>
      </c>
      <c r="AB243" t="s">
        <v>74</v>
      </c>
      <c r="AC243" t="s">
        <v>74</v>
      </c>
      <c r="AD243" t="s">
        <v>74</v>
      </c>
      <c r="AE243" t="s">
        <v>74</v>
      </c>
      <c r="AF243" t="s">
        <v>74</v>
      </c>
      <c r="AG243">
        <v>12</v>
      </c>
      <c r="AH243">
        <v>4</v>
      </c>
      <c r="AI243">
        <v>8</v>
      </c>
      <c r="AJ243">
        <v>0</v>
      </c>
      <c r="AK243">
        <v>2</v>
      </c>
      <c r="AL243" t="s">
        <v>4020</v>
      </c>
      <c r="AM243" t="s">
        <v>907</v>
      </c>
      <c r="AN243" t="s">
        <v>4021</v>
      </c>
      <c r="AO243" t="s">
        <v>4022</v>
      </c>
      <c r="AP243" t="s">
        <v>74</v>
      </c>
      <c r="AQ243" t="s">
        <v>74</v>
      </c>
      <c r="AR243" t="s">
        <v>4023</v>
      </c>
      <c r="AS243" t="s">
        <v>4024</v>
      </c>
      <c r="AT243" t="s">
        <v>74</v>
      </c>
      <c r="AU243">
        <v>2004</v>
      </c>
      <c r="AV243">
        <v>23</v>
      </c>
      <c r="AW243">
        <v>4</v>
      </c>
      <c r="AX243" t="s">
        <v>74</v>
      </c>
      <c r="AY243" t="s">
        <v>74</v>
      </c>
      <c r="AZ243" t="s">
        <v>74</v>
      </c>
      <c r="BA243" t="s">
        <v>74</v>
      </c>
      <c r="BB243">
        <v>647</v>
      </c>
      <c r="BC243">
        <v>653</v>
      </c>
      <c r="BD243" t="s">
        <v>74</v>
      </c>
      <c r="BE243" t="s">
        <v>74</v>
      </c>
      <c r="BF243" t="s">
        <v>74</v>
      </c>
      <c r="BG243" t="s">
        <v>74</v>
      </c>
      <c r="BH243" t="s">
        <v>74</v>
      </c>
      <c r="BI243">
        <v>7</v>
      </c>
      <c r="BJ243" t="s">
        <v>477</v>
      </c>
      <c r="BK243" t="s">
        <v>96</v>
      </c>
      <c r="BL243" t="s">
        <v>477</v>
      </c>
      <c r="BM243" t="s">
        <v>4025</v>
      </c>
      <c r="BN243" t="s">
        <v>74</v>
      </c>
      <c r="BO243" t="s">
        <v>74</v>
      </c>
      <c r="BP243" t="s">
        <v>74</v>
      </c>
      <c r="BQ243" t="s">
        <v>74</v>
      </c>
      <c r="BR243" t="s">
        <v>99</v>
      </c>
      <c r="BS243" t="s">
        <v>4026</v>
      </c>
      <c r="BT243" t="str">
        <f>HYPERLINK("https%3A%2F%2Fwww.webofscience.com%2Fwos%2Fwoscc%2Ffull-record%2FWOS:000226085700008","View Full Record in Web of Science")</f>
        <v>View Full Record in Web of Science</v>
      </c>
    </row>
    <row r="244" spans="1:72" x14ac:dyDescent="0.15">
      <c r="A244" t="s">
        <v>72</v>
      </c>
      <c r="B244" t="s">
        <v>4027</v>
      </c>
      <c r="C244" t="s">
        <v>74</v>
      </c>
      <c r="D244" t="s">
        <v>74</v>
      </c>
      <c r="E244" t="s">
        <v>74</v>
      </c>
      <c r="F244" t="s">
        <v>4027</v>
      </c>
      <c r="G244" t="s">
        <v>74</v>
      </c>
      <c r="H244" t="s">
        <v>74</v>
      </c>
      <c r="I244" t="s">
        <v>4028</v>
      </c>
      <c r="J244" t="s">
        <v>4012</v>
      </c>
      <c r="K244" t="s">
        <v>74</v>
      </c>
      <c r="L244" t="s">
        <v>74</v>
      </c>
      <c r="M244" t="s">
        <v>77</v>
      </c>
      <c r="N244" t="s">
        <v>78</v>
      </c>
      <c r="O244" t="s">
        <v>74</v>
      </c>
      <c r="P244" t="s">
        <v>74</v>
      </c>
      <c r="Q244" t="s">
        <v>74</v>
      </c>
      <c r="R244" t="s">
        <v>74</v>
      </c>
      <c r="S244" t="s">
        <v>74</v>
      </c>
      <c r="T244" t="s">
        <v>4029</v>
      </c>
      <c r="U244" t="s">
        <v>4030</v>
      </c>
      <c r="V244" t="s">
        <v>4031</v>
      </c>
      <c r="W244" t="s">
        <v>4032</v>
      </c>
      <c r="X244" t="s">
        <v>4033</v>
      </c>
      <c r="Y244" t="s">
        <v>4034</v>
      </c>
      <c r="Z244" t="s">
        <v>4035</v>
      </c>
      <c r="AA244" t="s">
        <v>74</v>
      </c>
      <c r="AB244" t="s">
        <v>74</v>
      </c>
      <c r="AC244" t="s">
        <v>74</v>
      </c>
      <c r="AD244" t="s">
        <v>74</v>
      </c>
      <c r="AE244" t="s">
        <v>74</v>
      </c>
      <c r="AF244" t="s">
        <v>74</v>
      </c>
      <c r="AG244">
        <v>16</v>
      </c>
      <c r="AH244">
        <v>9</v>
      </c>
      <c r="AI244">
        <v>12</v>
      </c>
      <c r="AJ244">
        <v>0</v>
      </c>
      <c r="AK244">
        <v>1</v>
      </c>
      <c r="AL244" t="s">
        <v>86</v>
      </c>
      <c r="AM244" t="s">
        <v>87</v>
      </c>
      <c r="AN244" t="s">
        <v>2007</v>
      </c>
      <c r="AO244" t="s">
        <v>4022</v>
      </c>
      <c r="AP244" t="s">
        <v>4036</v>
      </c>
      <c r="AQ244" t="s">
        <v>74</v>
      </c>
      <c r="AR244" t="s">
        <v>4023</v>
      </c>
      <c r="AS244" t="s">
        <v>4024</v>
      </c>
      <c r="AT244" t="s">
        <v>74</v>
      </c>
      <c r="AU244">
        <v>2004</v>
      </c>
      <c r="AV244">
        <v>23</v>
      </c>
      <c r="AW244">
        <v>4</v>
      </c>
      <c r="AX244" t="s">
        <v>74</v>
      </c>
      <c r="AY244" t="s">
        <v>74</v>
      </c>
      <c r="AZ244" t="s">
        <v>74</v>
      </c>
      <c r="BA244" t="s">
        <v>74</v>
      </c>
      <c r="BB244">
        <v>717</v>
      </c>
      <c r="BC244">
        <v>723</v>
      </c>
      <c r="BD244" t="s">
        <v>74</v>
      </c>
      <c r="BE244" t="s">
        <v>74</v>
      </c>
      <c r="BF244" t="s">
        <v>74</v>
      </c>
      <c r="BG244" t="s">
        <v>74</v>
      </c>
      <c r="BH244" t="s">
        <v>74</v>
      </c>
      <c r="BI244">
        <v>7</v>
      </c>
      <c r="BJ244" t="s">
        <v>477</v>
      </c>
      <c r="BK244" t="s">
        <v>96</v>
      </c>
      <c r="BL244" t="s">
        <v>477</v>
      </c>
      <c r="BM244" t="s">
        <v>4025</v>
      </c>
      <c r="BN244" t="s">
        <v>74</v>
      </c>
      <c r="BO244" t="s">
        <v>74</v>
      </c>
      <c r="BP244" t="s">
        <v>74</v>
      </c>
      <c r="BQ244" t="s">
        <v>74</v>
      </c>
      <c r="BR244" t="s">
        <v>99</v>
      </c>
      <c r="BS244" t="s">
        <v>4037</v>
      </c>
      <c r="BT244" t="str">
        <f>HYPERLINK("https%3A%2F%2Fwww.webofscience.com%2Fwos%2Fwoscc%2Ffull-record%2FWOS:000226085700015","View Full Record in Web of Science")</f>
        <v>View Full Record in Web of Science</v>
      </c>
    </row>
    <row r="245" spans="1:72" x14ac:dyDescent="0.15">
      <c r="A245" t="s">
        <v>72</v>
      </c>
      <c r="B245" t="s">
        <v>4038</v>
      </c>
      <c r="C245" t="s">
        <v>74</v>
      </c>
      <c r="D245" t="s">
        <v>74</v>
      </c>
      <c r="E245" t="s">
        <v>74</v>
      </c>
      <c r="F245" t="s">
        <v>4038</v>
      </c>
      <c r="G245" t="s">
        <v>74</v>
      </c>
      <c r="H245" t="s">
        <v>74</v>
      </c>
      <c r="I245" t="s">
        <v>4039</v>
      </c>
      <c r="J245" t="s">
        <v>4040</v>
      </c>
      <c r="K245" t="s">
        <v>74</v>
      </c>
      <c r="L245" t="s">
        <v>74</v>
      </c>
      <c r="M245" t="s">
        <v>77</v>
      </c>
      <c r="N245" t="s">
        <v>78</v>
      </c>
      <c r="O245" t="s">
        <v>74</v>
      </c>
      <c r="P245" t="s">
        <v>74</v>
      </c>
      <c r="Q245" t="s">
        <v>74</v>
      </c>
      <c r="R245" t="s">
        <v>74</v>
      </c>
      <c r="S245" t="s">
        <v>74</v>
      </c>
      <c r="T245" t="s">
        <v>4041</v>
      </c>
      <c r="U245" t="s">
        <v>4042</v>
      </c>
      <c r="V245" t="s">
        <v>4043</v>
      </c>
      <c r="W245" t="s">
        <v>4044</v>
      </c>
      <c r="X245" t="s">
        <v>4045</v>
      </c>
      <c r="Y245" t="s">
        <v>4046</v>
      </c>
      <c r="Z245" t="s">
        <v>4047</v>
      </c>
      <c r="AA245" t="s">
        <v>4048</v>
      </c>
      <c r="AB245" t="s">
        <v>4049</v>
      </c>
      <c r="AC245" t="s">
        <v>74</v>
      </c>
      <c r="AD245" t="s">
        <v>74</v>
      </c>
      <c r="AE245" t="s">
        <v>74</v>
      </c>
      <c r="AF245" t="s">
        <v>74</v>
      </c>
      <c r="AG245">
        <v>35</v>
      </c>
      <c r="AH245">
        <v>22</v>
      </c>
      <c r="AI245">
        <v>23</v>
      </c>
      <c r="AJ245">
        <v>0</v>
      </c>
      <c r="AK245">
        <v>10</v>
      </c>
      <c r="AL245" t="s">
        <v>4050</v>
      </c>
      <c r="AM245" t="s">
        <v>4051</v>
      </c>
      <c r="AN245" t="s">
        <v>4052</v>
      </c>
      <c r="AO245" t="s">
        <v>4053</v>
      </c>
      <c r="AP245" t="s">
        <v>4054</v>
      </c>
      <c r="AQ245" t="s">
        <v>74</v>
      </c>
      <c r="AR245" t="s">
        <v>4055</v>
      </c>
      <c r="AS245" t="s">
        <v>4056</v>
      </c>
      <c r="AT245" t="s">
        <v>74</v>
      </c>
      <c r="AU245">
        <v>2004</v>
      </c>
      <c r="AV245">
        <v>73</v>
      </c>
      <c r="AW245">
        <v>1</v>
      </c>
      <c r="AX245" t="s">
        <v>74</v>
      </c>
      <c r="AY245" t="s">
        <v>74</v>
      </c>
      <c r="AZ245" t="s">
        <v>74</v>
      </c>
      <c r="BA245" t="s">
        <v>74</v>
      </c>
      <c r="BB245">
        <v>23</v>
      </c>
      <c r="BC245">
        <v>29</v>
      </c>
      <c r="BD245" t="s">
        <v>74</v>
      </c>
      <c r="BE245" t="s">
        <v>74</v>
      </c>
      <c r="BF245" t="s">
        <v>74</v>
      </c>
      <c r="BG245" t="s">
        <v>74</v>
      </c>
      <c r="BH245" t="s">
        <v>74</v>
      </c>
      <c r="BI245">
        <v>7</v>
      </c>
      <c r="BJ245" t="s">
        <v>1903</v>
      </c>
      <c r="BK245" t="s">
        <v>96</v>
      </c>
      <c r="BL245" t="s">
        <v>1903</v>
      </c>
      <c r="BM245" t="s">
        <v>4057</v>
      </c>
      <c r="BN245" t="s">
        <v>74</v>
      </c>
      <c r="BO245" t="s">
        <v>2610</v>
      </c>
      <c r="BP245" t="s">
        <v>74</v>
      </c>
      <c r="BQ245" t="s">
        <v>74</v>
      </c>
      <c r="BR245" t="s">
        <v>99</v>
      </c>
      <c r="BS245" t="s">
        <v>4058</v>
      </c>
      <c r="BT245" t="str">
        <f>HYPERLINK("https%3A%2F%2Fwww.webofscience.com%2Fwos%2Fwoscc%2Ffull-record%2FWOS:000220548100004","View Full Record in Web of Science")</f>
        <v>View Full Record in Web of Science</v>
      </c>
    </row>
    <row r="246" spans="1:72" x14ac:dyDescent="0.15">
      <c r="A246" t="s">
        <v>72</v>
      </c>
      <c r="B246" t="s">
        <v>4059</v>
      </c>
      <c r="C246" t="s">
        <v>74</v>
      </c>
      <c r="D246" t="s">
        <v>74</v>
      </c>
      <c r="E246" t="s">
        <v>74</v>
      </c>
      <c r="F246" t="s">
        <v>4059</v>
      </c>
      <c r="G246" t="s">
        <v>74</v>
      </c>
      <c r="H246" t="s">
        <v>74</v>
      </c>
      <c r="I246" t="s">
        <v>4060</v>
      </c>
      <c r="J246" t="s">
        <v>4061</v>
      </c>
      <c r="K246" t="s">
        <v>74</v>
      </c>
      <c r="L246" t="s">
        <v>74</v>
      </c>
      <c r="M246" t="s">
        <v>77</v>
      </c>
      <c r="N246" t="s">
        <v>311</v>
      </c>
      <c r="O246" t="s">
        <v>4062</v>
      </c>
      <c r="P246" t="s">
        <v>4063</v>
      </c>
      <c r="Q246" t="s">
        <v>4064</v>
      </c>
      <c r="R246" t="s">
        <v>74</v>
      </c>
      <c r="S246" t="s">
        <v>74</v>
      </c>
      <c r="T246" t="s">
        <v>4065</v>
      </c>
      <c r="U246" t="s">
        <v>4066</v>
      </c>
      <c r="V246" t="s">
        <v>4067</v>
      </c>
      <c r="W246" t="s">
        <v>4068</v>
      </c>
      <c r="X246" t="s">
        <v>4069</v>
      </c>
      <c r="Y246" t="s">
        <v>4070</v>
      </c>
      <c r="Z246" t="s">
        <v>4071</v>
      </c>
      <c r="AA246" t="s">
        <v>74</v>
      </c>
      <c r="AB246" t="s">
        <v>4072</v>
      </c>
      <c r="AC246" t="s">
        <v>74</v>
      </c>
      <c r="AD246" t="s">
        <v>74</v>
      </c>
      <c r="AE246" t="s">
        <v>74</v>
      </c>
      <c r="AF246" t="s">
        <v>74</v>
      </c>
      <c r="AG246">
        <v>59</v>
      </c>
      <c r="AH246">
        <v>23</v>
      </c>
      <c r="AI246">
        <v>30</v>
      </c>
      <c r="AJ246">
        <v>0</v>
      </c>
      <c r="AK246">
        <v>37</v>
      </c>
      <c r="AL246" t="s">
        <v>2642</v>
      </c>
      <c r="AM246" t="s">
        <v>2643</v>
      </c>
      <c r="AN246" t="s">
        <v>2644</v>
      </c>
      <c r="AO246" t="s">
        <v>4073</v>
      </c>
      <c r="AP246" t="s">
        <v>4074</v>
      </c>
      <c r="AQ246" t="s">
        <v>74</v>
      </c>
      <c r="AR246" t="s">
        <v>4075</v>
      </c>
      <c r="AS246" t="s">
        <v>4076</v>
      </c>
      <c r="AT246" t="s">
        <v>74</v>
      </c>
      <c r="AU246">
        <v>2004</v>
      </c>
      <c r="AV246">
        <v>26</v>
      </c>
      <c r="AW246" t="s">
        <v>74</v>
      </c>
      <c r="AX246" t="s">
        <v>74</v>
      </c>
      <c r="AY246" t="s">
        <v>74</v>
      </c>
      <c r="AZ246" t="s">
        <v>74</v>
      </c>
      <c r="BA246" t="s">
        <v>74</v>
      </c>
      <c r="BB246">
        <v>245</v>
      </c>
      <c r="BC246">
        <v>259</v>
      </c>
      <c r="BD246" t="s">
        <v>74</v>
      </c>
      <c r="BE246" t="s">
        <v>4077</v>
      </c>
      <c r="BF246" t="str">
        <f>HYPERLINK("http://dx.doi.org/10.2989/18142320409504060","http://dx.doi.org/10.2989/18142320409504060")</f>
        <v>http://dx.doi.org/10.2989/18142320409504060</v>
      </c>
      <c r="BG246" t="s">
        <v>74</v>
      </c>
      <c r="BH246" t="s">
        <v>74</v>
      </c>
      <c r="BI246">
        <v>15</v>
      </c>
      <c r="BJ246" t="s">
        <v>1770</v>
      </c>
      <c r="BK246" t="s">
        <v>332</v>
      </c>
      <c r="BL246" t="s">
        <v>1770</v>
      </c>
      <c r="BM246" t="s">
        <v>4078</v>
      </c>
      <c r="BN246" t="s">
        <v>74</v>
      </c>
      <c r="BO246" t="s">
        <v>74</v>
      </c>
      <c r="BP246" t="s">
        <v>74</v>
      </c>
      <c r="BQ246" t="s">
        <v>74</v>
      </c>
      <c r="BR246" t="s">
        <v>99</v>
      </c>
      <c r="BS246" t="s">
        <v>4079</v>
      </c>
      <c r="BT246" t="str">
        <f>HYPERLINK("https%3A%2F%2Fwww.webofscience.com%2Fwos%2Fwoscc%2Ffull-record%2FWOS:000224636100016","View Full Record in Web of Science")</f>
        <v>View Full Record in Web of Science</v>
      </c>
    </row>
    <row r="247" spans="1:72" x14ac:dyDescent="0.15">
      <c r="A247" t="s">
        <v>72</v>
      </c>
      <c r="B247" t="s">
        <v>4080</v>
      </c>
      <c r="C247" t="s">
        <v>74</v>
      </c>
      <c r="D247" t="s">
        <v>74</v>
      </c>
      <c r="E247" t="s">
        <v>74</v>
      </c>
      <c r="F247" t="s">
        <v>4080</v>
      </c>
      <c r="G247" t="s">
        <v>74</v>
      </c>
      <c r="H247" t="s">
        <v>74</v>
      </c>
      <c r="I247" t="s">
        <v>4081</v>
      </c>
      <c r="J247" t="s">
        <v>4061</v>
      </c>
      <c r="K247" t="s">
        <v>74</v>
      </c>
      <c r="L247" t="s">
        <v>74</v>
      </c>
      <c r="M247" t="s">
        <v>77</v>
      </c>
      <c r="N247" t="s">
        <v>311</v>
      </c>
      <c r="O247" t="s">
        <v>4062</v>
      </c>
      <c r="P247" t="s">
        <v>4063</v>
      </c>
      <c r="Q247" t="s">
        <v>4064</v>
      </c>
      <c r="R247" t="s">
        <v>74</v>
      </c>
      <c r="S247" t="s">
        <v>74</v>
      </c>
      <c r="T247" t="s">
        <v>4082</v>
      </c>
      <c r="U247" t="s">
        <v>4083</v>
      </c>
      <c r="V247" t="s">
        <v>4084</v>
      </c>
      <c r="W247" t="s">
        <v>4068</v>
      </c>
      <c r="X247" t="s">
        <v>4069</v>
      </c>
      <c r="Y247" t="s">
        <v>4070</v>
      </c>
      <c r="Z247" t="s">
        <v>4085</v>
      </c>
      <c r="AA247" t="s">
        <v>4086</v>
      </c>
      <c r="AB247" t="s">
        <v>4087</v>
      </c>
      <c r="AC247" t="s">
        <v>74</v>
      </c>
      <c r="AD247" t="s">
        <v>74</v>
      </c>
      <c r="AE247" t="s">
        <v>74</v>
      </c>
      <c r="AF247" t="s">
        <v>74</v>
      </c>
      <c r="AG247">
        <v>102</v>
      </c>
      <c r="AH247">
        <v>147</v>
      </c>
      <c r="AI247">
        <v>170</v>
      </c>
      <c r="AJ247">
        <v>3</v>
      </c>
      <c r="AK247">
        <v>50</v>
      </c>
      <c r="AL247" t="s">
        <v>2642</v>
      </c>
      <c r="AM247" t="s">
        <v>2643</v>
      </c>
      <c r="AN247" t="s">
        <v>2644</v>
      </c>
      <c r="AO247" t="s">
        <v>4073</v>
      </c>
      <c r="AP247" t="s">
        <v>4074</v>
      </c>
      <c r="AQ247" t="s">
        <v>74</v>
      </c>
      <c r="AR247" t="s">
        <v>4075</v>
      </c>
      <c r="AS247" t="s">
        <v>4076</v>
      </c>
      <c r="AT247" t="s">
        <v>74</v>
      </c>
      <c r="AU247">
        <v>2004</v>
      </c>
      <c r="AV247">
        <v>26</v>
      </c>
      <c r="AW247" t="s">
        <v>74</v>
      </c>
      <c r="AX247" t="s">
        <v>74</v>
      </c>
      <c r="AY247" t="s">
        <v>74</v>
      </c>
      <c r="AZ247" t="s">
        <v>74</v>
      </c>
      <c r="BA247" t="s">
        <v>74</v>
      </c>
      <c r="BB247">
        <v>261</v>
      </c>
      <c r="BC247">
        <v>287</v>
      </c>
      <c r="BD247" t="s">
        <v>74</v>
      </c>
      <c r="BE247" t="s">
        <v>4088</v>
      </c>
      <c r="BF247" t="str">
        <f>HYPERLINK("http://dx.doi.org/10.2989/18142320409504061","http://dx.doi.org/10.2989/18142320409504061")</f>
        <v>http://dx.doi.org/10.2989/18142320409504061</v>
      </c>
      <c r="BG247" t="s">
        <v>74</v>
      </c>
      <c r="BH247" t="s">
        <v>74</v>
      </c>
      <c r="BI247">
        <v>27</v>
      </c>
      <c r="BJ247" t="s">
        <v>1770</v>
      </c>
      <c r="BK247" t="s">
        <v>332</v>
      </c>
      <c r="BL247" t="s">
        <v>1770</v>
      </c>
      <c r="BM247" t="s">
        <v>4078</v>
      </c>
      <c r="BN247" t="s">
        <v>74</v>
      </c>
      <c r="BO247" t="s">
        <v>541</v>
      </c>
      <c r="BP247" t="s">
        <v>74</v>
      </c>
      <c r="BQ247" t="s">
        <v>74</v>
      </c>
      <c r="BR247" t="s">
        <v>99</v>
      </c>
      <c r="BS247" t="s">
        <v>4089</v>
      </c>
      <c r="BT247" t="str">
        <f>HYPERLINK("https%3A%2F%2Fwww.webofscience.com%2Fwos%2Fwoscc%2Ffull-record%2FWOS:000224636100017","View Full Record in Web of Science")</f>
        <v>View Full Record in Web of Science</v>
      </c>
    </row>
    <row r="248" spans="1:72" x14ac:dyDescent="0.15">
      <c r="A248" t="s">
        <v>72</v>
      </c>
      <c r="B248" t="s">
        <v>4090</v>
      </c>
      <c r="C248" t="s">
        <v>74</v>
      </c>
      <c r="D248" t="s">
        <v>74</v>
      </c>
      <c r="E248" t="s">
        <v>74</v>
      </c>
      <c r="F248" t="s">
        <v>4090</v>
      </c>
      <c r="G248" t="s">
        <v>74</v>
      </c>
      <c r="H248" t="s">
        <v>74</v>
      </c>
      <c r="I248" t="s">
        <v>4091</v>
      </c>
      <c r="J248" t="s">
        <v>4092</v>
      </c>
      <c r="K248" t="s">
        <v>74</v>
      </c>
      <c r="L248" t="s">
        <v>74</v>
      </c>
      <c r="M248" t="s">
        <v>77</v>
      </c>
      <c r="N248" t="s">
        <v>78</v>
      </c>
      <c r="O248" t="s">
        <v>74</v>
      </c>
      <c r="P248" t="s">
        <v>74</v>
      </c>
      <c r="Q248" t="s">
        <v>74</v>
      </c>
      <c r="R248" t="s">
        <v>74</v>
      </c>
      <c r="S248" t="s">
        <v>74</v>
      </c>
      <c r="T248" t="s">
        <v>4093</v>
      </c>
      <c r="U248" t="s">
        <v>4094</v>
      </c>
      <c r="V248" t="s">
        <v>4095</v>
      </c>
      <c r="W248" t="s">
        <v>4096</v>
      </c>
      <c r="X248" t="s">
        <v>4097</v>
      </c>
      <c r="Y248" t="s">
        <v>3143</v>
      </c>
      <c r="Z248" t="s">
        <v>4098</v>
      </c>
      <c r="AA248" t="s">
        <v>4099</v>
      </c>
      <c r="AB248" t="s">
        <v>4100</v>
      </c>
      <c r="AC248" t="s">
        <v>74</v>
      </c>
      <c r="AD248" t="s">
        <v>74</v>
      </c>
      <c r="AE248" t="s">
        <v>74</v>
      </c>
      <c r="AF248" t="s">
        <v>74</v>
      </c>
      <c r="AG248">
        <v>25</v>
      </c>
      <c r="AH248">
        <v>4</v>
      </c>
      <c r="AI248">
        <v>4</v>
      </c>
      <c r="AJ248">
        <v>0</v>
      </c>
      <c r="AK248">
        <v>17</v>
      </c>
      <c r="AL248" t="s">
        <v>2642</v>
      </c>
      <c r="AM248" t="s">
        <v>2643</v>
      </c>
      <c r="AN248" t="s">
        <v>2644</v>
      </c>
      <c r="AO248" t="s">
        <v>4101</v>
      </c>
      <c r="AP248" t="s">
        <v>4102</v>
      </c>
      <c r="AQ248" t="s">
        <v>74</v>
      </c>
      <c r="AR248" t="s">
        <v>4092</v>
      </c>
      <c r="AS248" t="s">
        <v>4103</v>
      </c>
      <c r="AT248" t="s">
        <v>74</v>
      </c>
      <c r="AU248">
        <v>2004</v>
      </c>
      <c r="AV248">
        <v>28</v>
      </c>
      <c r="AW248">
        <v>2</v>
      </c>
      <c r="AX248" t="s">
        <v>74</v>
      </c>
      <c r="AY248" t="s">
        <v>74</v>
      </c>
      <c r="AZ248" t="s">
        <v>74</v>
      </c>
      <c r="BA248" t="s">
        <v>74</v>
      </c>
      <c r="BB248">
        <v>505</v>
      </c>
      <c r="BC248">
        <v>514</v>
      </c>
      <c r="BD248" t="s">
        <v>74</v>
      </c>
      <c r="BE248" t="s">
        <v>4104</v>
      </c>
      <c r="BF248" t="str">
        <f>HYPERLINK("http://dx.doi.org/10.1080/03115510408619299","http://dx.doi.org/10.1080/03115510408619299")</f>
        <v>http://dx.doi.org/10.1080/03115510408619299</v>
      </c>
      <c r="BG248" t="s">
        <v>74</v>
      </c>
      <c r="BH248" t="s">
        <v>74</v>
      </c>
      <c r="BI248">
        <v>10</v>
      </c>
      <c r="BJ248" t="s">
        <v>1750</v>
      </c>
      <c r="BK248" t="s">
        <v>96</v>
      </c>
      <c r="BL248" t="s">
        <v>1750</v>
      </c>
      <c r="BM248" t="s">
        <v>4105</v>
      </c>
      <c r="BN248" t="s">
        <v>74</v>
      </c>
      <c r="BO248" t="s">
        <v>74</v>
      </c>
      <c r="BP248" t="s">
        <v>74</v>
      </c>
      <c r="BQ248" t="s">
        <v>74</v>
      </c>
      <c r="BR248" t="s">
        <v>99</v>
      </c>
      <c r="BS248" t="s">
        <v>4106</v>
      </c>
      <c r="BT248" t="str">
        <f>HYPERLINK("https%3A%2F%2Fwww.webofscience.com%2Fwos%2Fwoscc%2Ffull-record%2FWOS:000224490800014","View Full Record in Web of Science")</f>
        <v>View Full Record in Web of Science</v>
      </c>
    </row>
    <row r="249" spans="1:72" x14ac:dyDescent="0.15">
      <c r="A249" t="s">
        <v>72</v>
      </c>
      <c r="B249" t="s">
        <v>4107</v>
      </c>
      <c r="C249" t="s">
        <v>74</v>
      </c>
      <c r="D249" t="s">
        <v>74</v>
      </c>
      <c r="E249" t="s">
        <v>74</v>
      </c>
      <c r="F249" t="s">
        <v>4107</v>
      </c>
      <c r="G249" t="s">
        <v>74</v>
      </c>
      <c r="H249" t="s">
        <v>74</v>
      </c>
      <c r="I249" t="s">
        <v>4108</v>
      </c>
      <c r="J249" t="s">
        <v>919</v>
      </c>
      <c r="K249" t="s">
        <v>74</v>
      </c>
      <c r="L249" t="s">
        <v>74</v>
      </c>
      <c r="M249" t="s">
        <v>77</v>
      </c>
      <c r="N249" t="s">
        <v>78</v>
      </c>
      <c r="O249" t="s">
        <v>74</v>
      </c>
      <c r="P249" t="s">
        <v>74</v>
      </c>
      <c r="Q249" t="s">
        <v>74</v>
      </c>
      <c r="R249" t="s">
        <v>74</v>
      </c>
      <c r="S249" t="s">
        <v>74</v>
      </c>
      <c r="T249" t="s">
        <v>4109</v>
      </c>
      <c r="U249" t="s">
        <v>4110</v>
      </c>
      <c r="V249" t="s">
        <v>4111</v>
      </c>
      <c r="W249" t="s">
        <v>4112</v>
      </c>
      <c r="X249" t="s">
        <v>4113</v>
      </c>
      <c r="Y249" t="s">
        <v>4114</v>
      </c>
      <c r="Z249" t="s">
        <v>4115</v>
      </c>
      <c r="AA249" t="s">
        <v>74</v>
      </c>
      <c r="AB249" t="s">
        <v>74</v>
      </c>
      <c r="AC249" t="s">
        <v>74</v>
      </c>
      <c r="AD249" t="s">
        <v>74</v>
      </c>
      <c r="AE249" t="s">
        <v>74</v>
      </c>
      <c r="AF249" t="s">
        <v>74</v>
      </c>
      <c r="AG249">
        <v>19</v>
      </c>
      <c r="AH249">
        <v>11</v>
      </c>
      <c r="AI249">
        <v>11</v>
      </c>
      <c r="AJ249">
        <v>0</v>
      </c>
      <c r="AK249">
        <v>13</v>
      </c>
      <c r="AL249" t="s">
        <v>4116</v>
      </c>
      <c r="AM249" t="s">
        <v>930</v>
      </c>
      <c r="AN249" t="s">
        <v>931</v>
      </c>
      <c r="AO249" t="s">
        <v>932</v>
      </c>
      <c r="AP249" t="s">
        <v>74</v>
      </c>
      <c r="AQ249" t="s">
        <v>74</v>
      </c>
      <c r="AR249" t="s">
        <v>934</v>
      </c>
      <c r="AS249" t="s">
        <v>935</v>
      </c>
      <c r="AT249" t="s">
        <v>4117</v>
      </c>
      <c r="AU249">
        <v>2004</v>
      </c>
      <c r="AV249">
        <v>378</v>
      </c>
      <c r="AW249">
        <v>2</v>
      </c>
      <c r="AX249" t="s">
        <v>74</v>
      </c>
      <c r="AY249" t="s">
        <v>74</v>
      </c>
      <c r="AZ249" t="s">
        <v>74</v>
      </c>
      <c r="BA249" t="s">
        <v>74</v>
      </c>
      <c r="BB249">
        <v>465</v>
      </c>
      <c r="BC249">
        <v>469</v>
      </c>
      <c r="BD249" t="s">
        <v>74</v>
      </c>
      <c r="BE249" t="s">
        <v>4118</v>
      </c>
      <c r="BF249" t="str">
        <f>HYPERLINK("http://dx.doi.org/10.1007/s00216-003-2275-5","http://dx.doi.org/10.1007/s00216-003-2275-5")</f>
        <v>http://dx.doi.org/10.1007/s00216-003-2275-5</v>
      </c>
      <c r="BG249" t="s">
        <v>74</v>
      </c>
      <c r="BH249" t="s">
        <v>74</v>
      </c>
      <c r="BI249">
        <v>5</v>
      </c>
      <c r="BJ249" t="s">
        <v>937</v>
      </c>
      <c r="BK249" t="s">
        <v>96</v>
      </c>
      <c r="BL249" t="s">
        <v>938</v>
      </c>
      <c r="BM249" t="s">
        <v>4119</v>
      </c>
      <c r="BN249">
        <v>14615859</v>
      </c>
      <c r="BO249" t="s">
        <v>74</v>
      </c>
      <c r="BP249" t="s">
        <v>74</v>
      </c>
      <c r="BQ249" t="s">
        <v>74</v>
      </c>
      <c r="BR249" t="s">
        <v>99</v>
      </c>
      <c r="BS249" t="s">
        <v>4120</v>
      </c>
      <c r="BT249" t="str">
        <f>HYPERLINK("https%3A%2F%2Fwww.webofscience.com%2Fwos%2Fwoscc%2Ffull-record%2FWOS:000188112700032","View Full Record in Web of Science")</f>
        <v>View Full Record in Web of Science</v>
      </c>
    </row>
    <row r="250" spans="1:72" x14ac:dyDescent="0.15">
      <c r="A250" t="s">
        <v>72</v>
      </c>
      <c r="B250" t="s">
        <v>4121</v>
      </c>
      <c r="C250" t="s">
        <v>74</v>
      </c>
      <c r="D250" t="s">
        <v>74</v>
      </c>
      <c r="E250" t="s">
        <v>74</v>
      </c>
      <c r="F250" t="s">
        <v>4121</v>
      </c>
      <c r="G250" t="s">
        <v>74</v>
      </c>
      <c r="H250" t="s">
        <v>74</v>
      </c>
      <c r="I250" t="s">
        <v>4122</v>
      </c>
      <c r="J250" t="s">
        <v>4123</v>
      </c>
      <c r="K250" t="s">
        <v>74</v>
      </c>
      <c r="L250" t="s">
        <v>74</v>
      </c>
      <c r="M250" t="s">
        <v>77</v>
      </c>
      <c r="N250" t="s">
        <v>78</v>
      </c>
      <c r="O250" t="s">
        <v>74</v>
      </c>
      <c r="P250" t="s">
        <v>74</v>
      </c>
      <c r="Q250" t="s">
        <v>74</v>
      </c>
      <c r="R250" t="s">
        <v>74</v>
      </c>
      <c r="S250" t="s">
        <v>74</v>
      </c>
      <c r="T250" t="s">
        <v>4124</v>
      </c>
      <c r="U250" t="s">
        <v>4125</v>
      </c>
      <c r="V250" t="s">
        <v>74</v>
      </c>
      <c r="W250" t="s">
        <v>4126</v>
      </c>
      <c r="X250" t="s">
        <v>4127</v>
      </c>
      <c r="Y250" t="s">
        <v>4128</v>
      </c>
      <c r="Z250" t="s">
        <v>4129</v>
      </c>
      <c r="AA250" t="s">
        <v>4130</v>
      </c>
      <c r="AB250" t="s">
        <v>4131</v>
      </c>
      <c r="AC250" t="s">
        <v>74</v>
      </c>
      <c r="AD250" t="s">
        <v>74</v>
      </c>
      <c r="AE250" t="s">
        <v>74</v>
      </c>
      <c r="AF250" t="s">
        <v>74</v>
      </c>
      <c r="AG250">
        <v>34</v>
      </c>
      <c r="AH250">
        <v>177</v>
      </c>
      <c r="AI250">
        <v>205</v>
      </c>
      <c r="AJ250">
        <v>0</v>
      </c>
      <c r="AK250">
        <v>65</v>
      </c>
      <c r="AL250" t="s">
        <v>850</v>
      </c>
      <c r="AM250" t="s">
        <v>851</v>
      </c>
      <c r="AN250" t="s">
        <v>852</v>
      </c>
      <c r="AO250" t="s">
        <v>4132</v>
      </c>
      <c r="AP250" t="s">
        <v>4133</v>
      </c>
      <c r="AQ250" t="s">
        <v>74</v>
      </c>
      <c r="AR250" t="s">
        <v>4134</v>
      </c>
      <c r="AS250" t="s">
        <v>4135</v>
      </c>
      <c r="AT250" t="s">
        <v>74</v>
      </c>
      <c r="AU250">
        <v>2004</v>
      </c>
      <c r="AV250">
        <v>43</v>
      </c>
      <c r="AW250">
        <v>7</v>
      </c>
      <c r="AX250" t="s">
        <v>74</v>
      </c>
      <c r="AY250" t="s">
        <v>74</v>
      </c>
      <c r="AZ250" t="s">
        <v>74</v>
      </c>
      <c r="BA250" t="s">
        <v>74</v>
      </c>
      <c r="BB250">
        <v>856</v>
      </c>
      <c r="BC250">
        <v>862</v>
      </c>
      <c r="BD250" t="s">
        <v>74</v>
      </c>
      <c r="BE250" t="s">
        <v>4136</v>
      </c>
      <c r="BF250" t="str">
        <f>HYPERLINK("http://dx.doi.org/10.1002/anie.200353110","http://dx.doi.org/10.1002/anie.200353110")</f>
        <v>http://dx.doi.org/10.1002/anie.200353110</v>
      </c>
      <c r="BG250" t="s">
        <v>74</v>
      </c>
      <c r="BH250" t="s">
        <v>74</v>
      </c>
      <c r="BI250">
        <v>7</v>
      </c>
      <c r="BJ250" t="s">
        <v>4137</v>
      </c>
      <c r="BK250" t="s">
        <v>96</v>
      </c>
      <c r="BL250" t="s">
        <v>2113</v>
      </c>
      <c r="BM250" t="s">
        <v>4138</v>
      </c>
      <c r="BN250">
        <v>14767958</v>
      </c>
      <c r="BO250" t="s">
        <v>74</v>
      </c>
      <c r="BP250" t="s">
        <v>74</v>
      </c>
      <c r="BQ250" t="s">
        <v>74</v>
      </c>
      <c r="BR250" t="s">
        <v>99</v>
      </c>
      <c r="BS250" t="s">
        <v>4139</v>
      </c>
      <c r="BT250" t="str">
        <f>HYPERLINK("https%3A%2F%2Fwww.webofscience.com%2Fwos%2Fwoscc%2Ffull-record%2FWOS:000189101500013","View Full Record in Web of Science")</f>
        <v>View Full Record in Web of Science</v>
      </c>
    </row>
    <row r="251" spans="1:72" x14ac:dyDescent="0.15">
      <c r="A251" t="s">
        <v>3934</v>
      </c>
      <c r="B251" t="s">
        <v>4140</v>
      </c>
      <c r="C251" t="s">
        <v>74</v>
      </c>
      <c r="D251" t="s">
        <v>4141</v>
      </c>
      <c r="E251" t="s">
        <v>74</v>
      </c>
      <c r="F251" t="s">
        <v>4140</v>
      </c>
      <c r="G251" t="s">
        <v>74</v>
      </c>
      <c r="H251" t="s">
        <v>74</v>
      </c>
      <c r="I251" t="s">
        <v>4142</v>
      </c>
      <c r="J251" t="s">
        <v>4143</v>
      </c>
      <c r="K251" t="s">
        <v>4144</v>
      </c>
      <c r="L251" t="s">
        <v>74</v>
      </c>
      <c r="M251" t="s">
        <v>77</v>
      </c>
      <c r="N251" t="s">
        <v>3940</v>
      </c>
      <c r="O251" t="s">
        <v>4145</v>
      </c>
      <c r="P251" t="s">
        <v>4146</v>
      </c>
      <c r="Q251" t="s">
        <v>4147</v>
      </c>
      <c r="R251" t="s">
        <v>74</v>
      </c>
      <c r="S251" t="s">
        <v>74</v>
      </c>
      <c r="T251" t="s">
        <v>4148</v>
      </c>
      <c r="U251" t="s">
        <v>4149</v>
      </c>
      <c r="V251" t="s">
        <v>4150</v>
      </c>
      <c r="W251" t="s">
        <v>4151</v>
      </c>
      <c r="X251" t="s">
        <v>4152</v>
      </c>
      <c r="Y251" t="s">
        <v>4153</v>
      </c>
      <c r="Z251" t="s">
        <v>4154</v>
      </c>
      <c r="AA251" t="s">
        <v>4155</v>
      </c>
      <c r="AB251" t="s">
        <v>4156</v>
      </c>
      <c r="AC251" t="s">
        <v>74</v>
      </c>
      <c r="AD251" t="s">
        <v>74</v>
      </c>
      <c r="AE251" t="s">
        <v>74</v>
      </c>
      <c r="AF251" t="s">
        <v>74</v>
      </c>
      <c r="AG251">
        <v>34</v>
      </c>
      <c r="AH251">
        <v>109</v>
      </c>
      <c r="AI251">
        <v>122</v>
      </c>
      <c r="AJ251">
        <v>15</v>
      </c>
      <c r="AK251">
        <v>76</v>
      </c>
      <c r="AL251" t="s">
        <v>528</v>
      </c>
      <c r="AM251" t="s">
        <v>529</v>
      </c>
      <c r="AN251" t="s">
        <v>4157</v>
      </c>
      <c r="AO251" t="s">
        <v>4158</v>
      </c>
      <c r="AP251" t="s">
        <v>74</v>
      </c>
      <c r="AQ251" t="s">
        <v>4159</v>
      </c>
      <c r="AR251" t="s">
        <v>4160</v>
      </c>
      <c r="AS251" t="s">
        <v>4161</v>
      </c>
      <c r="AT251" t="s">
        <v>74</v>
      </c>
      <c r="AU251">
        <v>2004</v>
      </c>
      <c r="AV251">
        <v>1275</v>
      </c>
      <c r="AW251" t="s">
        <v>74</v>
      </c>
      <c r="AX251" t="s">
        <v>74</v>
      </c>
      <c r="AY251" t="s">
        <v>74</v>
      </c>
      <c r="AZ251" t="s">
        <v>74</v>
      </c>
      <c r="BA251" t="s">
        <v>74</v>
      </c>
      <c r="BB251">
        <v>359</v>
      </c>
      <c r="BC251">
        <v>366</v>
      </c>
      <c r="BD251" t="s">
        <v>74</v>
      </c>
      <c r="BE251" t="s">
        <v>4162</v>
      </c>
      <c r="BF251" t="str">
        <f>HYPERLINK("http://dx.doi.org/10.1016/j.ics.2004.08.058","http://dx.doi.org/10.1016/j.ics.2004.08.058")</f>
        <v>http://dx.doi.org/10.1016/j.ics.2004.08.058</v>
      </c>
      <c r="BG251" t="s">
        <v>74</v>
      </c>
      <c r="BH251" t="s">
        <v>74</v>
      </c>
      <c r="BI251">
        <v>8</v>
      </c>
      <c r="BJ251" t="s">
        <v>4163</v>
      </c>
      <c r="BK251" t="s">
        <v>3955</v>
      </c>
      <c r="BL251" t="s">
        <v>4164</v>
      </c>
      <c r="BM251" t="s">
        <v>4165</v>
      </c>
      <c r="BN251" t="s">
        <v>74</v>
      </c>
      <c r="BO251" t="s">
        <v>74</v>
      </c>
      <c r="BP251" t="s">
        <v>74</v>
      </c>
      <c r="BQ251" t="s">
        <v>74</v>
      </c>
      <c r="BR251" t="s">
        <v>99</v>
      </c>
      <c r="BS251" t="s">
        <v>4166</v>
      </c>
      <c r="BT251" t="str">
        <f>HYPERLINK("https%3A%2F%2Fwww.webofscience.com%2Fwos%2Fwoscc%2Ffull-record%2FWOS:000228291600045","View Full Record in Web of Science")</f>
        <v>View Full Record in Web of Science</v>
      </c>
    </row>
    <row r="252" spans="1:72" x14ac:dyDescent="0.15">
      <c r="A252" t="s">
        <v>72</v>
      </c>
      <c r="B252" t="s">
        <v>4167</v>
      </c>
      <c r="C252" t="s">
        <v>74</v>
      </c>
      <c r="D252" t="s">
        <v>74</v>
      </c>
      <c r="E252" t="s">
        <v>74</v>
      </c>
      <c r="F252" t="s">
        <v>4167</v>
      </c>
      <c r="G252" t="s">
        <v>74</v>
      </c>
      <c r="H252" t="s">
        <v>74</v>
      </c>
      <c r="I252" t="s">
        <v>4168</v>
      </c>
      <c r="J252" t="s">
        <v>4169</v>
      </c>
      <c r="K252" t="s">
        <v>74</v>
      </c>
      <c r="L252" t="s">
        <v>74</v>
      </c>
      <c r="M252" t="s">
        <v>77</v>
      </c>
      <c r="N252" t="s">
        <v>78</v>
      </c>
      <c r="O252" t="s">
        <v>74</v>
      </c>
      <c r="P252" t="s">
        <v>74</v>
      </c>
      <c r="Q252" t="s">
        <v>74</v>
      </c>
      <c r="R252" t="s">
        <v>74</v>
      </c>
      <c r="S252" t="s">
        <v>74</v>
      </c>
      <c r="T252" t="s">
        <v>4170</v>
      </c>
      <c r="U252" t="s">
        <v>4171</v>
      </c>
      <c r="V252" t="s">
        <v>4172</v>
      </c>
      <c r="W252" t="s">
        <v>4173</v>
      </c>
      <c r="X252" t="s">
        <v>4174</v>
      </c>
      <c r="Y252" t="s">
        <v>4175</v>
      </c>
      <c r="Z252" t="s">
        <v>74</v>
      </c>
      <c r="AA252" t="s">
        <v>4176</v>
      </c>
      <c r="AB252" t="s">
        <v>4177</v>
      </c>
      <c r="AC252" t="s">
        <v>74</v>
      </c>
      <c r="AD252" t="s">
        <v>74</v>
      </c>
      <c r="AE252" t="s">
        <v>74</v>
      </c>
      <c r="AF252" t="s">
        <v>74</v>
      </c>
      <c r="AG252">
        <v>35</v>
      </c>
      <c r="AH252">
        <v>6</v>
      </c>
      <c r="AI252">
        <v>6</v>
      </c>
      <c r="AJ252">
        <v>0</v>
      </c>
      <c r="AK252">
        <v>3</v>
      </c>
      <c r="AL252" t="s">
        <v>4178</v>
      </c>
      <c r="AM252" t="s">
        <v>4179</v>
      </c>
      <c r="AN252" t="s">
        <v>4180</v>
      </c>
      <c r="AO252" t="s">
        <v>4181</v>
      </c>
      <c r="AP252" t="s">
        <v>4182</v>
      </c>
      <c r="AQ252" t="s">
        <v>74</v>
      </c>
      <c r="AR252" t="s">
        <v>4183</v>
      </c>
      <c r="AS252" t="s">
        <v>4184</v>
      </c>
      <c r="AT252" t="s">
        <v>74</v>
      </c>
      <c r="AU252">
        <v>2004</v>
      </c>
      <c r="AV252">
        <v>41</v>
      </c>
      <c r="AW252">
        <v>1</v>
      </c>
      <c r="AX252" t="s">
        <v>74</v>
      </c>
      <c r="AY252" t="s">
        <v>74</v>
      </c>
      <c r="AZ252" t="s">
        <v>74</v>
      </c>
      <c r="BA252" t="s">
        <v>74</v>
      </c>
      <c r="BB252">
        <v>27</v>
      </c>
      <c r="BC252">
        <v>35</v>
      </c>
      <c r="BD252" t="s">
        <v>74</v>
      </c>
      <c r="BE252" t="s">
        <v>74</v>
      </c>
      <c r="BF252" t="s">
        <v>74</v>
      </c>
      <c r="BG252" t="s">
        <v>74</v>
      </c>
      <c r="BH252" t="s">
        <v>74</v>
      </c>
      <c r="BI252">
        <v>9</v>
      </c>
      <c r="BJ252" t="s">
        <v>1903</v>
      </c>
      <c r="BK252" t="s">
        <v>96</v>
      </c>
      <c r="BL252" t="s">
        <v>1903</v>
      </c>
      <c r="BM252" t="s">
        <v>4185</v>
      </c>
      <c r="BN252" t="s">
        <v>74</v>
      </c>
      <c r="BO252" t="s">
        <v>74</v>
      </c>
      <c r="BP252" t="s">
        <v>74</v>
      </c>
      <c r="BQ252" t="s">
        <v>74</v>
      </c>
      <c r="BR252" t="s">
        <v>99</v>
      </c>
      <c r="BS252" t="s">
        <v>4186</v>
      </c>
      <c r="BT252" t="str">
        <f>HYPERLINK("https%3A%2F%2Fwww.webofscience.com%2Fwos%2Fwoscc%2Ffull-record%2FWOS:000220328700003","View Full Record in Web of Science")</f>
        <v>View Full Record in Web of Science</v>
      </c>
    </row>
    <row r="253" spans="1:72" x14ac:dyDescent="0.15">
      <c r="A253" t="s">
        <v>72</v>
      </c>
      <c r="B253" t="s">
        <v>4187</v>
      </c>
      <c r="C253" t="s">
        <v>74</v>
      </c>
      <c r="D253" t="s">
        <v>74</v>
      </c>
      <c r="E253" t="s">
        <v>74</v>
      </c>
      <c r="F253" t="s">
        <v>4187</v>
      </c>
      <c r="G253" t="s">
        <v>74</v>
      </c>
      <c r="H253" t="s">
        <v>74</v>
      </c>
      <c r="I253" t="s">
        <v>4188</v>
      </c>
      <c r="J253" t="s">
        <v>4189</v>
      </c>
      <c r="K253" t="s">
        <v>74</v>
      </c>
      <c r="L253" t="s">
        <v>74</v>
      </c>
      <c r="M253" t="s">
        <v>77</v>
      </c>
      <c r="N253" t="s">
        <v>78</v>
      </c>
      <c r="O253" t="s">
        <v>74</v>
      </c>
      <c r="P253" t="s">
        <v>74</v>
      </c>
      <c r="Q253" t="s">
        <v>74</v>
      </c>
      <c r="R253" t="s">
        <v>74</v>
      </c>
      <c r="S253" t="s">
        <v>74</v>
      </c>
      <c r="T253" t="s">
        <v>4190</v>
      </c>
      <c r="U253" t="s">
        <v>4191</v>
      </c>
      <c r="V253" t="s">
        <v>4192</v>
      </c>
      <c r="W253" t="s">
        <v>81</v>
      </c>
      <c r="X253" t="s">
        <v>82</v>
      </c>
      <c r="Y253" t="s">
        <v>83</v>
      </c>
      <c r="Z253" t="s">
        <v>4193</v>
      </c>
      <c r="AA253" t="s">
        <v>4194</v>
      </c>
      <c r="AB253" t="s">
        <v>3659</v>
      </c>
      <c r="AC253" t="s">
        <v>74</v>
      </c>
      <c r="AD253" t="s">
        <v>74</v>
      </c>
      <c r="AE253" t="s">
        <v>74</v>
      </c>
      <c r="AF253" t="s">
        <v>74</v>
      </c>
      <c r="AG253">
        <v>43</v>
      </c>
      <c r="AH253">
        <v>25</v>
      </c>
      <c r="AI253">
        <v>25</v>
      </c>
      <c r="AJ253">
        <v>0</v>
      </c>
      <c r="AK253">
        <v>1</v>
      </c>
      <c r="AL253" t="s">
        <v>4195</v>
      </c>
      <c r="AM253" t="s">
        <v>4196</v>
      </c>
      <c r="AN253" t="s">
        <v>4197</v>
      </c>
      <c r="AO253" t="s">
        <v>4198</v>
      </c>
      <c r="AP253" t="s">
        <v>4199</v>
      </c>
      <c r="AQ253" t="s">
        <v>74</v>
      </c>
      <c r="AR253" t="s">
        <v>4200</v>
      </c>
      <c r="AS253" t="s">
        <v>4201</v>
      </c>
      <c r="AT253" t="s">
        <v>74</v>
      </c>
      <c r="AU253">
        <v>2004</v>
      </c>
      <c r="AV253">
        <v>22</v>
      </c>
      <c r="AW253">
        <v>4</v>
      </c>
      <c r="AX253" t="s">
        <v>74</v>
      </c>
      <c r="AY253" t="s">
        <v>74</v>
      </c>
      <c r="AZ253" t="s">
        <v>74</v>
      </c>
      <c r="BA253" t="s">
        <v>74</v>
      </c>
      <c r="BB253">
        <v>1187</v>
      </c>
      <c r="BC253">
        <v>1202</v>
      </c>
      <c r="BD253" t="s">
        <v>74</v>
      </c>
      <c r="BE253" t="s">
        <v>4202</v>
      </c>
      <c r="BF253" t="str">
        <f>HYPERLINK("http://dx.doi.org/10.5194/angeo-22-1187-2004","http://dx.doi.org/10.5194/angeo-22-1187-2004")</f>
        <v>http://dx.doi.org/10.5194/angeo-22-1187-2004</v>
      </c>
      <c r="BG253" t="s">
        <v>74</v>
      </c>
      <c r="BH253" t="s">
        <v>74</v>
      </c>
      <c r="BI253">
        <v>16</v>
      </c>
      <c r="BJ253" t="s">
        <v>4203</v>
      </c>
      <c r="BK253" t="s">
        <v>96</v>
      </c>
      <c r="BL253" t="s">
        <v>4204</v>
      </c>
      <c r="BM253" t="s">
        <v>4205</v>
      </c>
      <c r="BN253" t="s">
        <v>74</v>
      </c>
      <c r="BO253" t="s">
        <v>4206</v>
      </c>
      <c r="BP253" t="s">
        <v>74</v>
      </c>
      <c r="BQ253" t="s">
        <v>74</v>
      </c>
      <c r="BR253" t="s">
        <v>99</v>
      </c>
      <c r="BS253" t="s">
        <v>4207</v>
      </c>
      <c r="BT253" t="str">
        <f>HYPERLINK("https%3A%2F%2Fwww.webofscience.com%2Fwos%2Fwoscc%2Ffull-record%2FWOS:000221199400011","View Full Record in Web of Science")</f>
        <v>View Full Record in Web of Science</v>
      </c>
    </row>
    <row r="254" spans="1:72" x14ac:dyDescent="0.15">
      <c r="A254" t="s">
        <v>72</v>
      </c>
      <c r="B254" t="s">
        <v>4208</v>
      </c>
      <c r="C254" t="s">
        <v>74</v>
      </c>
      <c r="D254" t="s">
        <v>74</v>
      </c>
      <c r="E254" t="s">
        <v>74</v>
      </c>
      <c r="F254" t="s">
        <v>4208</v>
      </c>
      <c r="G254" t="s">
        <v>74</v>
      </c>
      <c r="H254" t="s">
        <v>74</v>
      </c>
      <c r="I254" t="s">
        <v>4209</v>
      </c>
      <c r="J254" t="s">
        <v>4189</v>
      </c>
      <c r="K254" t="s">
        <v>74</v>
      </c>
      <c r="L254" t="s">
        <v>74</v>
      </c>
      <c r="M254" t="s">
        <v>77</v>
      </c>
      <c r="N254" t="s">
        <v>78</v>
      </c>
      <c r="O254" t="s">
        <v>74</v>
      </c>
      <c r="P254" t="s">
        <v>74</v>
      </c>
      <c r="Q254" t="s">
        <v>74</v>
      </c>
      <c r="R254" t="s">
        <v>74</v>
      </c>
      <c r="S254" t="s">
        <v>74</v>
      </c>
      <c r="T254" t="s">
        <v>4210</v>
      </c>
      <c r="U254" t="s">
        <v>4211</v>
      </c>
      <c r="V254" t="s">
        <v>4212</v>
      </c>
      <c r="W254" t="s">
        <v>4213</v>
      </c>
      <c r="X254" t="s">
        <v>4214</v>
      </c>
      <c r="Y254" t="s">
        <v>4215</v>
      </c>
      <c r="Z254" t="s">
        <v>4216</v>
      </c>
      <c r="AA254" t="s">
        <v>74</v>
      </c>
      <c r="AB254" t="s">
        <v>4217</v>
      </c>
      <c r="AC254" t="s">
        <v>74</v>
      </c>
      <c r="AD254" t="s">
        <v>74</v>
      </c>
      <c r="AE254" t="s">
        <v>74</v>
      </c>
      <c r="AF254" t="s">
        <v>74</v>
      </c>
      <c r="AG254">
        <v>29</v>
      </c>
      <c r="AH254">
        <v>8</v>
      </c>
      <c r="AI254">
        <v>9</v>
      </c>
      <c r="AJ254">
        <v>0</v>
      </c>
      <c r="AK254">
        <v>4</v>
      </c>
      <c r="AL254" t="s">
        <v>4195</v>
      </c>
      <c r="AM254" t="s">
        <v>4196</v>
      </c>
      <c r="AN254" t="s">
        <v>4197</v>
      </c>
      <c r="AO254" t="s">
        <v>4198</v>
      </c>
      <c r="AP254" t="s">
        <v>4199</v>
      </c>
      <c r="AQ254" t="s">
        <v>74</v>
      </c>
      <c r="AR254" t="s">
        <v>4200</v>
      </c>
      <c r="AS254" t="s">
        <v>4201</v>
      </c>
      <c r="AT254" t="s">
        <v>74</v>
      </c>
      <c r="AU254">
        <v>2004</v>
      </c>
      <c r="AV254">
        <v>22</v>
      </c>
      <c r="AW254">
        <v>4</v>
      </c>
      <c r="AX254" t="s">
        <v>74</v>
      </c>
      <c r="AY254" t="s">
        <v>74</v>
      </c>
      <c r="AZ254" t="s">
        <v>74</v>
      </c>
      <c r="BA254" t="s">
        <v>74</v>
      </c>
      <c r="BB254">
        <v>1335</v>
      </c>
      <c r="BC254">
        <v>1345</v>
      </c>
      <c r="BD254" t="s">
        <v>74</v>
      </c>
      <c r="BE254" t="s">
        <v>4218</v>
      </c>
      <c r="BF254" t="str">
        <f>HYPERLINK("http://dx.doi.org/10.5194/angeo-22-1335-2004","http://dx.doi.org/10.5194/angeo-22-1335-2004")</f>
        <v>http://dx.doi.org/10.5194/angeo-22-1335-2004</v>
      </c>
      <c r="BG254" t="s">
        <v>74</v>
      </c>
      <c r="BH254" t="s">
        <v>74</v>
      </c>
      <c r="BI254">
        <v>11</v>
      </c>
      <c r="BJ254" t="s">
        <v>4203</v>
      </c>
      <c r="BK254" t="s">
        <v>96</v>
      </c>
      <c r="BL254" t="s">
        <v>4204</v>
      </c>
      <c r="BM254" t="s">
        <v>4205</v>
      </c>
      <c r="BN254" t="s">
        <v>74</v>
      </c>
      <c r="BO254" t="s">
        <v>4219</v>
      </c>
      <c r="BP254" t="s">
        <v>74</v>
      </c>
      <c r="BQ254" t="s">
        <v>74</v>
      </c>
      <c r="BR254" t="s">
        <v>99</v>
      </c>
      <c r="BS254" t="s">
        <v>4220</v>
      </c>
      <c r="BT254" t="str">
        <f>HYPERLINK("https%3A%2F%2Fwww.webofscience.com%2Fwos%2Fwoscc%2Ffull-record%2FWOS:000221199400020","View Full Record in Web of Science")</f>
        <v>View Full Record in Web of Science</v>
      </c>
    </row>
    <row r="255" spans="1:72" x14ac:dyDescent="0.15">
      <c r="A255" t="s">
        <v>72</v>
      </c>
      <c r="B255" t="s">
        <v>4221</v>
      </c>
      <c r="C255" t="s">
        <v>74</v>
      </c>
      <c r="D255" t="s">
        <v>74</v>
      </c>
      <c r="E255" t="s">
        <v>74</v>
      </c>
      <c r="F255" t="s">
        <v>4221</v>
      </c>
      <c r="G255" t="s">
        <v>74</v>
      </c>
      <c r="H255" t="s">
        <v>74</v>
      </c>
      <c r="I255" t="s">
        <v>4222</v>
      </c>
      <c r="J255" t="s">
        <v>4189</v>
      </c>
      <c r="K255" t="s">
        <v>74</v>
      </c>
      <c r="L255" t="s">
        <v>74</v>
      </c>
      <c r="M255" t="s">
        <v>77</v>
      </c>
      <c r="N255" t="s">
        <v>78</v>
      </c>
      <c r="O255" t="s">
        <v>74</v>
      </c>
      <c r="P255" t="s">
        <v>74</v>
      </c>
      <c r="Q255" t="s">
        <v>74</v>
      </c>
      <c r="R255" t="s">
        <v>74</v>
      </c>
      <c r="S255" t="s">
        <v>74</v>
      </c>
      <c r="T255" t="s">
        <v>4223</v>
      </c>
      <c r="U255" t="s">
        <v>4224</v>
      </c>
      <c r="V255" t="s">
        <v>4225</v>
      </c>
      <c r="W255" t="s">
        <v>4226</v>
      </c>
      <c r="X255" t="s">
        <v>4227</v>
      </c>
      <c r="Y255" t="s">
        <v>4228</v>
      </c>
      <c r="Z255" t="s">
        <v>4229</v>
      </c>
      <c r="AA255" t="s">
        <v>4230</v>
      </c>
      <c r="AB255" t="s">
        <v>74</v>
      </c>
      <c r="AC255" t="s">
        <v>74</v>
      </c>
      <c r="AD255" t="s">
        <v>74</v>
      </c>
      <c r="AE255" t="s">
        <v>74</v>
      </c>
      <c r="AF255" t="s">
        <v>74</v>
      </c>
      <c r="AG255">
        <v>40</v>
      </c>
      <c r="AH255">
        <v>17</v>
      </c>
      <c r="AI255">
        <v>20</v>
      </c>
      <c r="AJ255">
        <v>0</v>
      </c>
      <c r="AK255">
        <v>4</v>
      </c>
      <c r="AL255" t="s">
        <v>4231</v>
      </c>
      <c r="AM255" t="s">
        <v>4232</v>
      </c>
      <c r="AN255" t="s">
        <v>4233</v>
      </c>
      <c r="AO255" t="s">
        <v>4198</v>
      </c>
      <c r="AP255" t="s">
        <v>74</v>
      </c>
      <c r="AQ255" t="s">
        <v>74</v>
      </c>
      <c r="AR255" t="s">
        <v>4200</v>
      </c>
      <c r="AS255" t="s">
        <v>4201</v>
      </c>
      <c r="AT255" t="s">
        <v>74</v>
      </c>
      <c r="AU255">
        <v>2004</v>
      </c>
      <c r="AV255">
        <v>22</v>
      </c>
      <c r="AW255">
        <v>5</v>
      </c>
      <c r="AX255" t="s">
        <v>74</v>
      </c>
      <c r="AY255" t="s">
        <v>74</v>
      </c>
      <c r="AZ255" t="s">
        <v>74</v>
      </c>
      <c r="BA255" t="s">
        <v>74</v>
      </c>
      <c r="BB255">
        <v>1495</v>
      </c>
      <c r="BC255">
        <v>1512</v>
      </c>
      <c r="BD255" t="s">
        <v>74</v>
      </c>
      <c r="BE255" t="s">
        <v>4234</v>
      </c>
      <c r="BF255" t="str">
        <f>HYPERLINK("http://dx.doi.org/10.5194/angeo-22-1495-2004","http://dx.doi.org/10.5194/angeo-22-1495-2004")</f>
        <v>http://dx.doi.org/10.5194/angeo-22-1495-2004</v>
      </c>
      <c r="BG255" t="s">
        <v>74</v>
      </c>
      <c r="BH255" t="s">
        <v>74</v>
      </c>
      <c r="BI255">
        <v>18</v>
      </c>
      <c r="BJ255" t="s">
        <v>4203</v>
      </c>
      <c r="BK255" t="s">
        <v>96</v>
      </c>
      <c r="BL255" t="s">
        <v>4204</v>
      </c>
      <c r="BM255" t="s">
        <v>4235</v>
      </c>
      <c r="BN255" t="s">
        <v>74</v>
      </c>
      <c r="BO255" t="s">
        <v>4206</v>
      </c>
      <c r="BP255" t="s">
        <v>74</v>
      </c>
      <c r="BQ255" t="s">
        <v>74</v>
      </c>
      <c r="BR255" t="s">
        <v>99</v>
      </c>
      <c r="BS255" t="s">
        <v>4236</v>
      </c>
      <c r="BT255" t="str">
        <f>HYPERLINK("https%3A%2F%2Fwww.webofscience.com%2Fwos%2Fwoscc%2Ffull-record%2FWOS:000221114000008","View Full Record in Web of Science")</f>
        <v>View Full Record in Web of Science</v>
      </c>
    </row>
    <row r="256" spans="1:72" x14ac:dyDescent="0.15">
      <c r="A256" t="s">
        <v>72</v>
      </c>
      <c r="B256" t="s">
        <v>4237</v>
      </c>
      <c r="C256" t="s">
        <v>74</v>
      </c>
      <c r="D256" t="s">
        <v>74</v>
      </c>
      <c r="E256" t="s">
        <v>74</v>
      </c>
      <c r="F256" t="s">
        <v>4237</v>
      </c>
      <c r="G256" t="s">
        <v>74</v>
      </c>
      <c r="H256" t="s">
        <v>74</v>
      </c>
      <c r="I256" t="s">
        <v>4238</v>
      </c>
      <c r="J256" t="s">
        <v>4189</v>
      </c>
      <c r="K256" t="s">
        <v>74</v>
      </c>
      <c r="L256" t="s">
        <v>74</v>
      </c>
      <c r="M256" t="s">
        <v>77</v>
      </c>
      <c r="N256" t="s">
        <v>78</v>
      </c>
      <c r="O256" t="s">
        <v>74</v>
      </c>
      <c r="P256" t="s">
        <v>74</v>
      </c>
      <c r="Q256" t="s">
        <v>74</v>
      </c>
      <c r="R256" t="s">
        <v>74</v>
      </c>
      <c r="S256" t="s">
        <v>74</v>
      </c>
      <c r="T256" t="s">
        <v>4239</v>
      </c>
      <c r="U256" t="s">
        <v>4240</v>
      </c>
      <c r="V256" t="s">
        <v>4241</v>
      </c>
      <c r="W256" t="s">
        <v>4242</v>
      </c>
      <c r="X256" t="s">
        <v>4243</v>
      </c>
      <c r="Y256" t="s">
        <v>4244</v>
      </c>
      <c r="Z256" t="s">
        <v>4245</v>
      </c>
      <c r="AA256" t="s">
        <v>4246</v>
      </c>
      <c r="AB256" t="s">
        <v>4247</v>
      </c>
      <c r="AC256" t="s">
        <v>74</v>
      </c>
      <c r="AD256" t="s">
        <v>74</v>
      </c>
      <c r="AE256" t="s">
        <v>74</v>
      </c>
      <c r="AF256" t="s">
        <v>74</v>
      </c>
      <c r="AG256">
        <v>46</v>
      </c>
      <c r="AH256">
        <v>15</v>
      </c>
      <c r="AI256">
        <v>17</v>
      </c>
      <c r="AJ256">
        <v>0</v>
      </c>
      <c r="AK256">
        <v>3</v>
      </c>
      <c r="AL256" t="s">
        <v>4195</v>
      </c>
      <c r="AM256" t="s">
        <v>4196</v>
      </c>
      <c r="AN256" t="s">
        <v>4197</v>
      </c>
      <c r="AO256" t="s">
        <v>4198</v>
      </c>
      <c r="AP256" t="s">
        <v>4199</v>
      </c>
      <c r="AQ256" t="s">
        <v>74</v>
      </c>
      <c r="AR256" t="s">
        <v>4200</v>
      </c>
      <c r="AS256" t="s">
        <v>4201</v>
      </c>
      <c r="AT256" t="s">
        <v>74</v>
      </c>
      <c r="AU256">
        <v>2004</v>
      </c>
      <c r="AV256">
        <v>22</v>
      </c>
      <c r="AW256">
        <v>5</v>
      </c>
      <c r="AX256" t="s">
        <v>74</v>
      </c>
      <c r="AY256" t="s">
        <v>74</v>
      </c>
      <c r="AZ256" t="s">
        <v>74</v>
      </c>
      <c r="BA256" t="s">
        <v>74</v>
      </c>
      <c r="BB256">
        <v>1549</v>
      </c>
      <c r="BC256">
        <v>1561</v>
      </c>
      <c r="BD256" t="s">
        <v>74</v>
      </c>
      <c r="BE256" t="s">
        <v>4248</v>
      </c>
      <c r="BF256" t="str">
        <f>HYPERLINK("http://dx.doi.org/10.5194/angeo-22-1549-2004","http://dx.doi.org/10.5194/angeo-22-1549-2004")</f>
        <v>http://dx.doi.org/10.5194/angeo-22-1549-2004</v>
      </c>
      <c r="BG256" t="s">
        <v>74</v>
      </c>
      <c r="BH256" t="s">
        <v>74</v>
      </c>
      <c r="BI256">
        <v>13</v>
      </c>
      <c r="BJ256" t="s">
        <v>4203</v>
      </c>
      <c r="BK256" t="s">
        <v>96</v>
      </c>
      <c r="BL256" t="s">
        <v>4204</v>
      </c>
      <c r="BM256" t="s">
        <v>4235</v>
      </c>
      <c r="BN256" t="s">
        <v>74</v>
      </c>
      <c r="BO256" t="s">
        <v>4219</v>
      </c>
      <c r="BP256" t="s">
        <v>74</v>
      </c>
      <c r="BQ256" t="s">
        <v>74</v>
      </c>
      <c r="BR256" t="s">
        <v>99</v>
      </c>
      <c r="BS256" t="s">
        <v>4249</v>
      </c>
      <c r="BT256" t="str">
        <f>HYPERLINK("https%3A%2F%2Fwww.webofscience.com%2Fwos%2Fwoscc%2Ffull-record%2FWOS:000221114000011","View Full Record in Web of Science")</f>
        <v>View Full Record in Web of Science</v>
      </c>
    </row>
    <row r="257" spans="1:72" x14ac:dyDescent="0.15">
      <c r="A257" t="s">
        <v>72</v>
      </c>
      <c r="B257" t="s">
        <v>4250</v>
      </c>
      <c r="C257" t="s">
        <v>74</v>
      </c>
      <c r="D257" t="s">
        <v>74</v>
      </c>
      <c r="E257" t="s">
        <v>74</v>
      </c>
      <c r="F257" t="s">
        <v>4250</v>
      </c>
      <c r="G257" t="s">
        <v>74</v>
      </c>
      <c r="H257" t="s">
        <v>74</v>
      </c>
      <c r="I257" t="s">
        <v>4251</v>
      </c>
      <c r="J257" t="s">
        <v>4189</v>
      </c>
      <c r="K257" t="s">
        <v>74</v>
      </c>
      <c r="L257" t="s">
        <v>74</v>
      </c>
      <c r="M257" t="s">
        <v>77</v>
      </c>
      <c r="N257" t="s">
        <v>78</v>
      </c>
      <c r="O257" t="s">
        <v>74</v>
      </c>
      <c r="P257" t="s">
        <v>74</v>
      </c>
      <c r="Q257" t="s">
        <v>74</v>
      </c>
      <c r="R257" t="s">
        <v>74</v>
      </c>
      <c r="S257" t="s">
        <v>74</v>
      </c>
      <c r="T257" t="s">
        <v>4252</v>
      </c>
      <c r="U257" t="s">
        <v>4253</v>
      </c>
      <c r="V257" t="s">
        <v>4254</v>
      </c>
      <c r="W257" t="s">
        <v>4255</v>
      </c>
      <c r="X257" t="s">
        <v>4256</v>
      </c>
      <c r="Y257" t="s">
        <v>4257</v>
      </c>
      <c r="Z257" t="s">
        <v>4258</v>
      </c>
      <c r="AA257" t="s">
        <v>4259</v>
      </c>
      <c r="AB257" t="s">
        <v>4260</v>
      </c>
      <c r="AC257" t="s">
        <v>74</v>
      </c>
      <c r="AD257" t="s">
        <v>74</v>
      </c>
      <c r="AE257" t="s">
        <v>74</v>
      </c>
      <c r="AF257" t="s">
        <v>74</v>
      </c>
      <c r="AG257">
        <v>40</v>
      </c>
      <c r="AH257">
        <v>2</v>
      </c>
      <c r="AI257">
        <v>2</v>
      </c>
      <c r="AJ257">
        <v>0</v>
      </c>
      <c r="AK257">
        <v>0</v>
      </c>
      <c r="AL257" t="s">
        <v>4195</v>
      </c>
      <c r="AM257" t="s">
        <v>4196</v>
      </c>
      <c r="AN257" t="s">
        <v>4197</v>
      </c>
      <c r="AO257" t="s">
        <v>4198</v>
      </c>
      <c r="AP257" t="s">
        <v>4199</v>
      </c>
      <c r="AQ257" t="s">
        <v>74</v>
      </c>
      <c r="AR257" t="s">
        <v>4200</v>
      </c>
      <c r="AS257" t="s">
        <v>4201</v>
      </c>
      <c r="AT257" t="s">
        <v>74</v>
      </c>
      <c r="AU257">
        <v>2004</v>
      </c>
      <c r="AV257">
        <v>22</v>
      </c>
      <c r="AW257">
        <v>5</v>
      </c>
      <c r="AX257" t="s">
        <v>74</v>
      </c>
      <c r="AY257" t="s">
        <v>74</v>
      </c>
      <c r="AZ257" t="s">
        <v>74</v>
      </c>
      <c r="BA257" t="s">
        <v>74</v>
      </c>
      <c r="BB257">
        <v>1563</v>
      </c>
      <c r="BC257">
        <v>1574</v>
      </c>
      <c r="BD257" t="s">
        <v>74</v>
      </c>
      <c r="BE257" t="s">
        <v>4261</v>
      </c>
      <c r="BF257" t="str">
        <f>HYPERLINK("http://dx.doi.org/10.5194/angeo-22-1563-2004","http://dx.doi.org/10.5194/angeo-22-1563-2004")</f>
        <v>http://dx.doi.org/10.5194/angeo-22-1563-2004</v>
      </c>
      <c r="BG257" t="s">
        <v>74</v>
      </c>
      <c r="BH257" t="s">
        <v>74</v>
      </c>
      <c r="BI257">
        <v>12</v>
      </c>
      <c r="BJ257" t="s">
        <v>4203</v>
      </c>
      <c r="BK257" t="s">
        <v>96</v>
      </c>
      <c r="BL257" t="s">
        <v>4204</v>
      </c>
      <c r="BM257" t="s">
        <v>4235</v>
      </c>
      <c r="BN257" t="s">
        <v>74</v>
      </c>
      <c r="BO257" t="s">
        <v>4262</v>
      </c>
      <c r="BP257" t="s">
        <v>74</v>
      </c>
      <c r="BQ257" t="s">
        <v>74</v>
      </c>
      <c r="BR257" t="s">
        <v>99</v>
      </c>
      <c r="BS257" t="s">
        <v>4263</v>
      </c>
      <c r="BT257" t="str">
        <f>HYPERLINK("https%3A%2F%2Fwww.webofscience.com%2Fwos%2Fwoscc%2Ffull-record%2FWOS:000221114000012","View Full Record in Web of Science")</f>
        <v>View Full Record in Web of Science</v>
      </c>
    </row>
    <row r="258" spans="1:72" x14ac:dyDescent="0.15">
      <c r="A258" t="s">
        <v>72</v>
      </c>
      <c r="B258" t="s">
        <v>4264</v>
      </c>
      <c r="C258" t="s">
        <v>74</v>
      </c>
      <c r="D258" t="s">
        <v>74</v>
      </c>
      <c r="E258" t="s">
        <v>74</v>
      </c>
      <c r="F258" t="s">
        <v>4264</v>
      </c>
      <c r="G258" t="s">
        <v>74</v>
      </c>
      <c r="H258" t="s">
        <v>74</v>
      </c>
      <c r="I258" t="s">
        <v>4265</v>
      </c>
      <c r="J258" t="s">
        <v>4189</v>
      </c>
      <c r="K258" t="s">
        <v>74</v>
      </c>
      <c r="L258" t="s">
        <v>74</v>
      </c>
      <c r="M258" t="s">
        <v>77</v>
      </c>
      <c r="N258" t="s">
        <v>78</v>
      </c>
      <c r="O258" t="s">
        <v>74</v>
      </c>
      <c r="P258" t="s">
        <v>74</v>
      </c>
      <c r="Q258" t="s">
        <v>74</v>
      </c>
      <c r="R258" t="s">
        <v>74</v>
      </c>
      <c r="S258" t="s">
        <v>74</v>
      </c>
      <c r="T258" t="s">
        <v>4266</v>
      </c>
      <c r="U258" t="s">
        <v>4267</v>
      </c>
      <c r="V258" t="s">
        <v>4268</v>
      </c>
      <c r="W258" t="s">
        <v>4269</v>
      </c>
      <c r="X258" t="s">
        <v>4270</v>
      </c>
      <c r="Y258" t="s">
        <v>4271</v>
      </c>
      <c r="Z258" t="s">
        <v>4272</v>
      </c>
      <c r="AA258" t="s">
        <v>4273</v>
      </c>
      <c r="AB258" t="s">
        <v>4274</v>
      </c>
      <c r="AC258" t="s">
        <v>74</v>
      </c>
      <c r="AD258" t="s">
        <v>74</v>
      </c>
      <c r="AE258" t="s">
        <v>74</v>
      </c>
      <c r="AF258" t="s">
        <v>74</v>
      </c>
      <c r="AG258">
        <v>56</v>
      </c>
      <c r="AH258">
        <v>20</v>
      </c>
      <c r="AI258">
        <v>20</v>
      </c>
      <c r="AJ258">
        <v>1</v>
      </c>
      <c r="AK258">
        <v>4</v>
      </c>
      <c r="AL258" t="s">
        <v>4275</v>
      </c>
      <c r="AM258" t="s">
        <v>4232</v>
      </c>
      <c r="AN258" t="s">
        <v>4233</v>
      </c>
      <c r="AO258" t="s">
        <v>4198</v>
      </c>
      <c r="AP258" t="s">
        <v>74</v>
      </c>
      <c r="AQ258" t="s">
        <v>74</v>
      </c>
      <c r="AR258" t="s">
        <v>4200</v>
      </c>
      <c r="AS258" t="s">
        <v>4201</v>
      </c>
      <c r="AT258" t="s">
        <v>74</v>
      </c>
      <c r="AU258">
        <v>2004</v>
      </c>
      <c r="AV258">
        <v>22</v>
      </c>
      <c r="AW258">
        <v>6</v>
      </c>
      <c r="AX258" t="s">
        <v>74</v>
      </c>
      <c r="AY258" t="s">
        <v>74</v>
      </c>
      <c r="AZ258" t="s">
        <v>74</v>
      </c>
      <c r="BA258" t="s">
        <v>74</v>
      </c>
      <c r="BB258">
        <v>2181</v>
      </c>
      <c r="BC258">
        <v>2199</v>
      </c>
      <c r="BD258" t="s">
        <v>74</v>
      </c>
      <c r="BE258" t="s">
        <v>4276</v>
      </c>
      <c r="BF258" t="str">
        <f>HYPERLINK("http://dx.doi.org/10.5194/angeo-22-2181-2004","http://dx.doi.org/10.5194/angeo-22-2181-2004")</f>
        <v>http://dx.doi.org/10.5194/angeo-22-2181-2004</v>
      </c>
      <c r="BG258" t="s">
        <v>74</v>
      </c>
      <c r="BH258" t="s">
        <v>74</v>
      </c>
      <c r="BI258">
        <v>19</v>
      </c>
      <c r="BJ258" t="s">
        <v>4203</v>
      </c>
      <c r="BK258" t="s">
        <v>96</v>
      </c>
      <c r="BL258" t="s">
        <v>4204</v>
      </c>
      <c r="BM258" t="s">
        <v>4277</v>
      </c>
      <c r="BN258" t="s">
        <v>74</v>
      </c>
      <c r="BO258" t="s">
        <v>4278</v>
      </c>
      <c r="BP258" t="s">
        <v>74</v>
      </c>
      <c r="BQ258" t="s">
        <v>74</v>
      </c>
      <c r="BR258" t="s">
        <v>99</v>
      </c>
      <c r="BS258" t="s">
        <v>4279</v>
      </c>
      <c r="BT258" t="str">
        <f>HYPERLINK("https%3A%2F%2Fwww.webofscience.com%2Fwos%2Fwoscc%2Ffull-record%2FWOS:000222836700028","View Full Record in Web of Science")</f>
        <v>View Full Record in Web of Science</v>
      </c>
    </row>
    <row r="259" spans="1:72" x14ac:dyDescent="0.15">
      <c r="A259" t="s">
        <v>72</v>
      </c>
      <c r="B259" t="s">
        <v>4280</v>
      </c>
      <c r="C259" t="s">
        <v>74</v>
      </c>
      <c r="D259" t="s">
        <v>74</v>
      </c>
      <c r="E259" t="s">
        <v>74</v>
      </c>
      <c r="F259" t="s">
        <v>4280</v>
      </c>
      <c r="G259" t="s">
        <v>74</v>
      </c>
      <c r="H259" t="s">
        <v>74</v>
      </c>
      <c r="I259" t="s">
        <v>4281</v>
      </c>
      <c r="J259" t="s">
        <v>4189</v>
      </c>
      <c r="K259" t="s">
        <v>74</v>
      </c>
      <c r="L259" t="s">
        <v>74</v>
      </c>
      <c r="M259" t="s">
        <v>77</v>
      </c>
      <c r="N259" t="s">
        <v>78</v>
      </c>
      <c r="O259" t="s">
        <v>74</v>
      </c>
      <c r="P259" t="s">
        <v>74</v>
      </c>
      <c r="Q259" t="s">
        <v>74</v>
      </c>
      <c r="R259" t="s">
        <v>74</v>
      </c>
      <c r="S259" t="s">
        <v>74</v>
      </c>
      <c r="T259" t="s">
        <v>4282</v>
      </c>
      <c r="U259" t="s">
        <v>4283</v>
      </c>
      <c r="V259" t="s">
        <v>4284</v>
      </c>
      <c r="W259" t="s">
        <v>4285</v>
      </c>
      <c r="X259" t="s">
        <v>4286</v>
      </c>
      <c r="Y259" t="s">
        <v>4287</v>
      </c>
      <c r="Z259" t="s">
        <v>4288</v>
      </c>
      <c r="AA259" t="s">
        <v>4289</v>
      </c>
      <c r="AB259" t="s">
        <v>4290</v>
      </c>
      <c r="AC259" t="s">
        <v>74</v>
      </c>
      <c r="AD259" t="s">
        <v>74</v>
      </c>
      <c r="AE259" t="s">
        <v>74</v>
      </c>
      <c r="AF259" t="s">
        <v>74</v>
      </c>
      <c r="AG259">
        <v>20</v>
      </c>
      <c r="AH259">
        <v>2</v>
      </c>
      <c r="AI259">
        <v>2</v>
      </c>
      <c r="AJ259">
        <v>0</v>
      </c>
      <c r="AK259">
        <v>0</v>
      </c>
      <c r="AL259" t="s">
        <v>4195</v>
      </c>
      <c r="AM259" t="s">
        <v>4196</v>
      </c>
      <c r="AN259" t="s">
        <v>4197</v>
      </c>
      <c r="AO259" t="s">
        <v>4198</v>
      </c>
      <c r="AP259" t="s">
        <v>4199</v>
      </c>
      <c r="AQ259" t="s">
        <v>74</v>
      </c>
      <c r="AR259" t="s">
        <v>4200</v>
      </c>
      <c r="AS259" t="s">
        <v>4201</v>
      </c>
      <c r="AT259" t="s">
        <v>74</v>
      </c>
      <c r="AU259">
        <v>2004</v>
      </c>
      <c r="AV259">
        <v>22</v>
      </c>
      <c r="AW259">
        <v>8</v>
      </c>
      <c r="AX259" t="s">
        <v>74</v>
      </c>
      <c r="AY259" t="s">
        <v>74</v>
      </c>
      <c r="AZ259" t="s">
        <v>74</v>
      </c>
      <c r="BA259" t="s">
        <v>74</v>
      </c>
      <c r="BB259">
        <v>2669</v>
      </c>
      <c r="BC259">
        <v>2678</v>
      </c>
      <c r="BD259" t="s">
        <v>74</v>
      </c>
      <c r="BE259" t="s">
        <v>4291</v>
      </c>
      <c r="BF259" t="str">
        <f>HYPERLINK("http://dx.doi.org/10.5194/angeo-22-2669-2004","http://dx.doi.org/10.5194/angeo-22-2669-2004")</f>
        <v>http://dx.doi.org/10.5194/angeo-22-2669-2004</v>
      </c>
      <c r="BG259" t="s">
        <v>74</v>
      </c>
      <c r="BH259" t="s">
        <v>74</v>
      </c>
      <c r="BI259">
        <v>10</v>
      </c>
      <c r="BJ259" t="s">
        <v>4203</v>
      </c>
      <c r="BK259" t="s">
        <v>96</v>
      </c>
      <c r="BL259" t="s">
        <v>4204</v>
      </c>
      <c r="BM259" t="s">
        <v>4292</v>
      </c>
      <c r="BN259" t="s">
        <v>74</v>
      </c>
      <c r="BO259" t="s">
        <v>4206</v>
      </c>
      <c r="BP259" t="s">
        <v>74</v>
      </c>
      <c r="BQ259" t="s">
        <v>74</v>
      </c>
      <c r="BR259" t="s">
        <v>99</v>
      </c>
      <c r="BS259" t="s">
        <v>4293</v>
      </c>
      <c r="BT259" t="str">
        <f>HYPERLINK("https%3A%2F%2Fwww.webofscience.com%2Fwos%2Fwoscc%2Ffull-record%2FWOS:000224483900003","View Full Record in Web of Science")</f>
        <v>View Full Record in Web of Science</v>
      </c>
    </row>
    <row r="260" spans="1:72" x14ac:dyDescent="0.15">
      <c r="A260" t="s">
        <v>72</v>
      </c>
      <c r="B260" t="s">
        <v>4294</v>
      </c>
      <c r="C260" t="s">
        <v>74</v>
      </c>
      <c r="D260" t="s">
        <v>74</v>
      </c>
      <c r="E260" t="s">
        <v>74</v>
      </c>
      <c r="F260" t="s">
        <v>4294</v>
      </c>
      <c r="G260" t="s">
        <v>74</v>
      </c>
      <c r="H260" t="s">
        <v>74</v>
      </c>
      <c r="I260" t="s">
        <v>4295</v>
      </c>
      <c r="J260" t="s">
        <v>4189</v>
      </c>
      <c r="K260" t="s">
        <v>74</v>
      </c>
      <c r="L260" t="s">
        <v>74</v>
      </c>
      <c r="M260" t="s">
        <v>77</v>
      </c>
      <c r="N260" t="s">
        <v>78</v>
      </c>
      <c r="O260" t="s">
        <v>74</v>
      </c>
      <c r="P260" t="s">
        <v>74</v>
      </c>
      <c r="Q260" t="s">
        <v>74</v>
      </c>
      <c r="R260" t="s">
        <v>74</v>
      </c>
      <c r="S260" t="s">
        <v>74</v>
      </c>
      <c r="T260" t="s">
        <v>4296</v>
      </c>
      <c r="U260" t="s">
        <v>4297</v>
      </c>
      <c r="V260" t="s">
        <v>4298</v>
      </c>
      <c r="W260" t="s">
        <v>4299</v>
      </c>
      <c r="X260" t="s">
        <v>4300</v>
      </c>
      <c r="Y260" t="s">
        <v>2464</v>
      </c>
      <c r="Z260" t="s">
        <v>4301</v>
      </c>
      <c r="AA260" t="s">
        <v>74</v>
      </c>
      <c r="AB260" t="s">
        <v>74</v>
      </c>
      <c r="AC260" t="s">
        <v>74</v>
      </c>
      <c r="AD260" t="s">
        <v>74</v>
      </c>
      <c r="AE260" t="s">
        <v>74</v>
      </c>
      <c r="AF260" t="s">
        <v>74</v>
      </c>
      <c r="AG260">
        <v>31</v>
      </c>
      <c r="AH260">
        <v>7</v>
      </c>
      <c r="AI260">
        <v>7</v>
      </c>
      <c r="AJ260">
        <v>0</v>
      </c>
      <c r="AK260">
        <v>1</v>
      </c>
      <c r="AL260" t="s">
        <v>4195</v>
      </c>
      <c r="AM260" t="s">
        <v>4196</v>
      </c>
      <c r="AN260" t="s">
        <v>4197</v>
      </c>
      <c r="AO260" t="s">
        <v>4198</v>
      </c>
      <c r="AP260" t="s">
        <v>4199</v>
      </c>
      <c r="AQ260" t="s">
        <v>74</v>
      </c>
      <c r="AR260" t="s">
        <v>4200</v>
      </c>
      <c r="AS260" t="s">
        <v>4201</v>
      </c>
      <c r="AT260" t="s">
        <v>74</v>
      </c>
      <c r="AU260">
        <v>2004</v>
      </c>
      <c r="AV260">
        <v>22</v>
      </c>
      <c r="AW260">
        <v>8</v>
      </c>
      <c r="AX260" t="s">
        <v>74</v>
      </c>
      <c r="AY260" t="s">
        <v>74</v>
      </c>
      <c r="AZ260" t="s">
        <v>74</v>
      </c>
      <c r="BA260" t="s">
        <v>74</v>
      </c>
      <c r="BB260">
        <v>2715</v>
      </c>
      <c r="BC260">
        <v>2722</v>
      </c>
      <c r="BD260" t="s">
        <v>74</v>
      </c>
      <c r="BE260" t="s">
        <v>4302</v>
      </c>
      <c r="BF260" t="str">
        <f>HYPERLINK("http://dx.doi.org/10.5194/angeo-22-2715-2004","http://dx.doi.org/10.5194/angeo-22-2715-2004")</f>
        <v>http://dx.doi.org/10.5194/angeo-22-2715-2004</v>
      </c>
      <c r="BG260" t="s">
        <v>74</v>
      </c>
      <c r="BH260" t="s">
        <v>74</v>
      </c>
      <c r="BI260">
        <v>8</v>
      </c>
      <c r="BJ260" t="s">
        <v>4203</v>
      </c>
      <c r="BK260" t="s">
        <v>96</v>
      </c>
      <c r="BL260" t="s">
        <v>4204</v>
      </c>
      <c r="BM260" t="s">
        <v>4292</v>
      </c>
      <c r="BN260" t="s">
        <v>74</v>
      </c>
      <c r="BO260" t="s">
        <v>4206</v>
      </c>
      <c r="BP260" t="s">
        <v>74</v>
      </c>
      <c r="BQ260" t="s">
        <v>74</v>
      </c>
      <c r="BR260" t="s">
        <v>99</v>
      </c>
      <c r="BS260" t="s">
        <v>4303</v>
      </c>
      <c r="BT260" t="str">
        <f>HYPERLINK("https%3A%2F%2Fwww.webofscience.com%2Fwos%2Fwoscc%2Ffull-record%2FWOS:000224483900006","View Full Record in Web of Science")</f>
        <v>View Full Record in Web of Science</v>
      </c>
    </row>
    <row r="261" spans="1:72" x14ac:dyDescent="0.15">
      <c r="A261" t="s">
        <v>72</v>
      </c>
      <c r="B261" t="s">
        <v>4304</v>
      </c>
      <c r="C261" t="s">
        <v>74</v>
      </c>
      <c r="D261" t="s">
        <v>74</v>
      </c>
      <c r="E261" t="s">
        <v>74</v>
      </c>
      <c r="F261" t="s">
        <v>4304</v>
      </c>
      <c r="G261" t="s">
        <v>74</v>
      </c>
      <c r="H261" t="s">
        <v>74</v>
      </c>
      <c r="I261" t="s">
        <v>4305</v>
      </c>
      <c r="J261" t="s">
        <v>4189</v>
      </c>
      <c r="K261" t="s">
        <v>74</v>
      </c>
      <c r="L261" t="s">
        <v>74</v>
      </c>
      <c r="M261" t="s">
        <v>77</v>
      </c>
      <c r="N261" t="s">
        <v>78</v>
      </c>
      <c r="O261" t="s">
        <v>74</v>
      </c>
      <c r="P261" t="s">
        <v>74</v>
      </c>
      <c r="Q261" t="s">
        <v>74</v>
      </c>
      <c r="R261" t="s">
        <v>74</v>
      </c>
      <c r="S261" t="s">
        <v>74</v>
      </c>
      <c r="T261" t="s">
        <v>4306</v>
      </c>
      <c r="U261" t="s">
        <v>4307</v>
      </c>
      <c r="V261" t="s">
        <v>4308</v>
      </c>
      <c r="W261" t="s">
        <v>4309</v>
      </c>
      <c r="X261" t="s">
        <v>4310</v>
      </c>
      <c r="Y261" t="s">
        <v>4311</v>
      </c>
      <c r="Z261" t="s">
        <v>4312</v>
      </c>
      <c r="AA261" t="s">
        <v>4313</v>
      </c>
      <c r="AB261" t="s">
        <v>4314</v>
      </c>
      <c r="AC261" t="s">
        <v>74</v>
      </c>
      <c r="AD261" t="s">
        <v>74</v>
      </c>
      <c r="AE261" t="s">
        <v>74</v>
      </c>
      <c r="AF261" t="s">
        <v>74</v>
      </c>
      <c r="AG261">
        <v>47</v>
      </c>
      <c r="AH261">
        <v>3</v>
      </c>
      <c r="AI261">
        <v>4</v>
      </c>
      <c r="AJ261">
        <v>0</v>
      </c>
      <c r="AK261">
        <v>5</v>
      </c>
      <c r="AL261" t="s">
        <v>4195</v>
      </c>
      <c r="AM261" t="s">
        <v>4196</v>
      </c>
      <c r="AN261" t="s">
        <v>4197</v>
      </c>
      <c r="AO261" t="s">
        <v>4198</v>
      </c>
      <c r="AP261" t="s">
        <v>74</v>
      </c>
      <c r="AQ261" t="s">
        <v>74</v>
      </c>
      <c r="AR261" t="s">
        <v>4200</v>
      </c>
      <c r="AS261" t="s">
        <v>4201</v>
      </c>
      <c r="AT261" t="s">
        <v>74</v>
      </c>
      <c r="AU261">
        <v>2004</v>
      </c>
      <c r="AV261">
        <v>22</v>
      </c>
      <c r="AW261">
        <v>8</v>
      </c>
      <c r="AX261" t="s">
        <v>74</v>
      </c>
      <c r="AY261" t="s">
        <v>74</v>
      </c>
      <c r="AZ261" t="s">
        <v>74</v>
      </c>
      <c r="BA261" t="s">
        <v>74</v>
      </c>
      <c r="BB261">
        <v>2819</v>
      </c>
      <c r="BC261">
        <v>2835</v>
      </c>
      <c r="BD261" t="s">
        <v>74</v>
      </c>
      <c r="BE261" t="s">
        <v>4315</v>
      </c>
      <c r="BF261" t="str">
        <f>HYPERLINK("http://dx.doi.org/10.5194/angeo-22-2819-2004","http://dx.doi.org/10.5194/angeo-22-2819-2004")</f>
        <v>http://dx.doi.org/10.5194/angeo-22-2819-2004</v>
      </c>
      <c r="BG261" t="s">
        <v>74</v>
      </c>
      <c r="BH261" t="s">
        <v>74</v>
      </c>
      <c r="BI261">
        <v>17</v>
      </c>
      <c r="BJ261" t="s">
        <v>4203</v>
      </c>
      <c r="BK261" t="s">
        <v>96</v>
      </c>
      <c r="BL261" t="s">
        <v>4204</v>
      </c>
      <c r="BM261" t="s">
        <v>4292</v>
      </c>
      <c r="BN261" t="s">
        <v>74</v>
      </c>
      <c r="BO261" t="s">
        <v>4206</v>
      </c>
      <c r="BP261" t="s">
        <v>74</v>
      </c>
      <c r="BQ261" t="s">
        <v>74</v>
      </c>
      <c r="BR261" t="s">
        <v>99</v>
      </c>
      <c r="BS261" t="s">
        <v>4316</v>
      </c>
      <c r="BT261" t="str">
        <f>HYPERLINK("https%3A%2F%2Fwww.webofscience.com%2Fwos%2Fwoscc%2Ffull-record%2FWOS:000224483900016","View Full Record in Web of Science")</f>
        <v>View Full Record in Web of Science</v>
      </c>
    </row>
    <row r="262" spans="1:72" x14ac:dyDescent="0.15">
      <c r="A262" t="s">
        <v>72</v>
      </c>
      <c r="B262" t="s">
        <v>4317</v>
      </c>
      <c r="C262" t="s">
        <v>74</v>
      </c>
      <c r="D262" t="s">
        <v>74</v>
      </c>
      <c r="E262" t="s">
        <v>74</v>
      </c>
      <c r="F262" t="s">
        <v>4317</v>
      </c>
      <c r="G262" t="s">
        <v>74</v>
      </c>
      <c r="H262" t="s">
        <v>74</v>
      </c>
      <c r="I262" t="s">
        <v>4318</v>
      </c>
      <c r="J262" t="s">
        <v>4189</v>
      </c>
      <c r="K262" t="s">
        <v>74</v>
      </c>
      <c r="L262" t="s">
        <v>74</v>
      </c>
      <c r="M262" t="s">
        <v>77</v>
      </c>
      <c r="N262" t="s">
        <v>78</v>
      </c>
      <c r="O262" t="s">
        <v>74</v>
      </c>
      <c r="P262" t="s">
        <v>74</v>
      </c>
      <c r="Q262" t="s">
        <v>74</v>
      </c>
      <c r="R262" t="s">
        <v>74</v>
      </c>
      <c r="S262" t="s">
        <v>74</v>
      </c>
      <c r="T262" t="s">
        <v>4319</v>
      </c>
      <c r="U262" t="s">
        <v>4320</v>
      </c>
      <c r="V262" t="s">
        <v>4321</v>
      </c>
      <c r="W262" t="s">
        <v>4322</v>
      </c>
      <c r="X262" t="s">
        <v>4323</v>
      </c>
      <c r="Y262" t="s">
        <v>4324</v>
      </c>
      <c r="Z262" t="s">
        <v>4325</v>
      </c>
      <c r="AA262" t="s">
        <v>4259</v>
      </c>
      <c r="AB262" t="s">
        <v>4260</v>
      </c>
      <c r="AC262" t="s">
        <v>74</v>
      </c>
      <c r="AD262" t="s">
        <v>74</v>
      </c>
      <c r="AE262" t="s">
        <v>74</v>
      </c>
      <c r="AF262" t="s">
        <v>74</v>
      </c>
      <c r="AG262">
        <v>46</v>
      </c>
      <c r="AH262">
        <v>6</v>
      </c>
      <c r="AI262">
        <v>6</v>
      </c>
      <c r="AJ262">
        <v>0</v>
      </c>
      <c r="AK262">
        <v>1</v>
      </c>
      <c r="AL262" t="s">
        <v>4195</v>
      </c>
      <c r="AM262" t="s">
        <v>4196</v>
      </c>
      <c r="AN262" t="s">
        <v>4197</v>
      </c>
      <c r="AO262" t="s">
        <v>4198</v>
      </c>
      <c r="AP262" t="s">
        <v>4199</v>
      </c>
      <c r="AQ262" t="s">
        <v>74</v>
      </c>
      <c r="AR262" t="s">
        <v>4200</v>
      </c>
      <c r="AS262" t="s">
        <v>4201</v>
      </c>
      <c r="AT262" t="s">
        <v>74</v>
      </c>
      <c r="AU262">
        <v>2004</v>
      </c>
      <c r="AV262">
        <v>22</v>
      </c>
      <c r="AW262">
        <v>10</v>
      </c>
      <c r="AX262" t="s">
        <v>74</v>
      </c>
      <c r="AY262" t="s">
        <v>74</v>
      </c>
      <c r="AZ262" t="s">
        <v>74</v>
      </c>
      <c r="BA262" t="s">
        <v>74</v>
      </c>
      <c r="BB262">
        <v>3657</v>
      </c>
      <c r="BC262">
        <v>3667</v>
      </c>
      <c r="BD262" t="s">
        <v>74</v>
      </c>
      <c r="BE262" t="s">
        <v>4326</v>
      </c>
      <c r="BF262" t="str">
        <f>HYPERLINK("http://dx.doi.org/10.5194/angeo-22-3657-2004","http://dx.doi.org/10.5194/angeo-22-3657-2004")</f>
        <v>http://dx.doi.org/10.5194/angeo-22-3657-2004</v>
      </c>
      <c r="BG262" t="s">
        <v>74</v>
      </c>
      <c r="BH262" t="s">
        <v>74</v>
      </c>
      <c r="BI262">
        <v>11</v>
      </c>
      <c r="BJ262" t="s">
        <v>4203</v>
      </c>
      <c r="BK262" t="s">
        <v>96</v>
      </c>
      <c r="BL262" t="s">
        <v>4204</v>
      </c>
      <c r="BM262" t="s">
        <v>4327</v>
      </c>
      <c r="BN262" t="s">
        <v>74</v>
      </c>
      <c r="BO262" t="s">
        <v>4328</v>
      </c>
      <c r="BP262" t="s">
        <v>74</v>
      </c>
      <c r="BQ262" t="s">
        <v>74</v>
      </c>
      <c r="BR262" t="s">
        <v>99</v>
      </c>
      <c r="BS262" t="s">
        <v>4329</v>
      </c>
      <c r="BT262" t="str">
        <f>HYPERLINK("https%3A%2F%2Fwww.webofscience.com%2Fwos%2Fwoscc%2Ffull-record%2FWOS:000225643100026","View Full Record in Web of Science")</f>
        <v>View Full Record in Web of Science</v>
      </c>
    </row>
    <row r="263" spans="1:72" x14ac:dyDescent="0.15">
      <c r="A263" t="s">
        <v>72</v>
      </c>
      <c r="B263" t="s">
        <v>4330</v>
      </c>
      <c r="C263" t="s">
        <v>74</v>
      </c>
      <c r="D263" t="s">
        <v>74</v>
      </c>
      <c r="E263" t="s">
        <v>74</v>
      </c>
      <c r="F263" t="s">
        <v>4330</v>
      </c>
      <c r="G263" t="s">
        <v>74</v>
      </c>
      <c r="H263" t="s">
        <v>74</v>
      </c>
      <c r="I263" t="s">
        <v>4331</v>
      </c>
      <c r="J263" t="s">
        <v>4189</v>
      </c>
      <c r="K263" t="s">
        <v>74</v>
      </c>
      <c r="L263" t="s">
        <v>74</v>
      </c>
      <c r="M263" t="s">
        <v>77</v>
      </c>
      <c r="N263" t="s">
        <v>78</v>
      </c>
      <c r="O263" t="s">
        <v>74</v>
      </c>
      <c r="P263" t="s">
        <v>74</v>
      </c>
      <c r="Q263" t="s">
        <v>74</v>
      </c>
      <c r="R263" t="s">
        <v>74</v>
      </c>
      <c r="S263" t="s">
        <v>74</v>
      </c>
      <c r="T263" t="s">
        <v>4332</v>
      </c>
      <c r="U263" t="s">
        <v>4333</v>
      </c>
      <c r="V263" t="s">
        <v>4334</v>
      </c>
      <c r="W263" t="s">
        <v>4335</v>
      </c>
      <c r="X263" t="s">
        <v>4336</v>
      </c>
      <c r="Y263" t="s">
        <v>4337</v>
      </c>
      <c r="Z263" t="s">
        <v>4338</v>
      </c>
      <c r="AA263" t="s">
        <v>4339</v>
      </c>
      <c r="AB263" t="s">
        <v>4340</v>
      </c>
      <c r="AC263" t="s">
        <v>74</v>
      </c>
      <c r="AD263" t="s">
        <v>74</v>
      </c>
      <c r="AE263" t="s">
        <v>74</v>
      </c>
      <c r="AF263" t="s">
        <v>74</v>
      </c>
      <c r="AG263">
        <v>36</v>
      </c>
      <c r="AH263">
        <v>2</v>
      </c>
      <c r="AI263">
        <v>2</v>
      </c>
      <c r="AJ263">
        <v>0</v>
      </c>
      <c r="AK263">
        <v>3</v>
      </c>
      <c r="AL263" t="s">
        <v>4195</v>
      </c>
      <c r="AM263" t="s">
        <v>4196</v>
      </c>
      <c r="AN263" t="s">
        <v>4197</v>
      </c>
      <c r="AO263" t="s">
        <v>4198</v>
      </c>
      <c r="AP263" t="s">
        <v>4199</v>
      </c>
      <c r="AQ263" t="s">
        <v>74</v>
      </c>
      <c r="AR263" t="s">
        <v>4200</v>
      </c>
      <c r="AS263" t="s">
        <v>4201</v>
      </c>
      <c r="AT263" t="s">
        <v>74</v>
      </c>
      <c r="AU263">
        <v>2004</v>
      </c>
      <c r="AV263">
        <v>22</v>
      </c>
      <c r="AW263">
        <v>12</v>
      </c>
      <c r="AX263" t="s">
        <v>74</v>
      </c>
      <c r="AY263" t="s">
        <v>74</v>
      </c>
      <c r="AZ263" t="s">
        <v>74</v>
      </c>
      <c r="BA263" t="s">
        <v>74</v>
      </c>
      <c r="BB263">
        <v>4035</v>
      </c>
      <c r="BC263">
        <v>4041</v>
      </c>
      <c r="BD263" t="s">
        <v>74</v>
      </c>
      <c r="BE263" t="s">
        <v>4341</v>
      </c>
      <c r="BF263" t="str">
        <f>HYPERLINK("http://dx.doi.org/10.5194/angeo-22-4035-2004","http://dx.doi.org/10.5194/angeo-22-4035-2004")</f>
        <v>http://dx.doi.org/10.5194/angeo-22-4035-2004</v>
      </c>
      <c r="BG263" t="s">
        <v>74</v>
      </c>
      <c r="BH263" t="s">
        <v>74</v>
      </c>
      <c r="BI263">
        <v>7</v>
      </c>
      <c r="BJ263" t="s">
        <v>4203</v>
      </c>
      <c r="BK263" t="s">
        <v>96</v>
      </c>
      <c r="BL263" t="s">
        <v>4204</v>
      </c>
      <c r="BM263" t="s">
        <v>4342</v>
      </c>
      <c r="BN263" t="s">
        <v>74</v>
      </c>
      <c r="BO263" t="s">
        <v>4206</v>
      </c>
      <c r="BP263" t="s">
        <v>74</v>
      </c>
      <c r="BQ263" t="s">
        <v>74</v>
      </c>
      <c r="BR263" t="s">
        <v>99</v>
      </c>
      <c r="BS263" t="s">
        <v>4343</v>
      </c>
      <c r="BT263" t="str">
        <f>HYPERLINK("https%3A%2F%2Fwww.webofscience.com%2Fwos%2Fwoscc%2Ffull-record%2FWOS:000226831100002","View Full Record in Web of Science")</f>
        <v>View Full Record in Web of Science</v>
      </c>
    </row>
    <row r="264" spans="1:72" x14ac:dyDescent="0.15">
      <c r="A264" t="s">
        <v>72</v>
      </c>
      <c r="B264" t="s">
        <v>4344</v>
      </c>
      <c r="C264" t="s">
        <v>74</v>
      </c>
      <c r="D264" t="s">
        <v>74</v>
      </c>
      <c r="E264" t="s">
        <v>74</v>
      </c>
      <c r="F264" t="s">
        <v>4344</v>
      </c>
      <c r="G264" t="s">
        <v>74</v>
      </c>
      <c r="H264" t="s">
        <v>74</v>
      </c>
      <c r="I264" t="s">
        <v>4345</v>
      </c>
      <c r="J264" t="s">
        <v>4189</v>
      </c>
      <c r="K264" t="s">
        <v>74</v>
      </c>
      <c r="L264" t="s">
        <v>74</v>
      </c>
      <c r="M264" t="s">
        <v>77</v>
      </c>
      <c r="N264" t="s">
        <v>78</v>
      </c>
      <c r="O264" t="s">
        <v>74</v>
      </c>
      <c r="P264" t="s">
        <v>74</v>
      </c>
      <c r="Q264" t="s">
        <v>74</v>
      </c>
      <c r="R264" t="s">
        <v>74</v>
      </c>
      <c r="S264" t="s">
        <v>74</v>
      </c>
      <c r="T264" t="s">
        <v>4346</v>
      </c>
      <c r="U264" t="s">
        <v>4347</v>
      </c>
      <c r="V264" t="s">
        <v>4348</v>
      </c>
      <c r="W264" t="s">
        <v>4349</v>
      </c>
      <c r="X264" t="s">
        <v>4350</v>
      </c>
      <c r="Y264" t="s">
        <v>4351</v>
      </c>
      <c r="Z264" t="s">
        <v>4352</v>
      </c>
      <c r="AA264" t="s">
        <v>4353</v>
      </c>
      <c r="AB264" t="s">
        <v>4354</v>
      </c>
      <c r="AC264" t="s">
        <v>74</v>
      </c>
      <c r="AD264" t="s">
        <v>74</v>
      </c>
      <c r="AE264" t="s">
        <v>74</v>
      </c>
      <c r="AF264" t="s">
        <v>74</v>
      </c>
      <c r="AG264">
        <v>31</v>
      </c>
      <c r="AH264">
        <v>9</v>
      </c>
      <c r="AI264">
        <v>9</v>
      </c>
      <c r="AJ264">
        <v>0</v>
      </c>
      <c r="AK264">
        <v>3</v>
      </c>
      <c r="AL264" t="s">
        <v>4275</v>
      </c>
      <c r="AM264" t="s">
        <v>4232</v>
      </c>
      <c r="AN264" t="s">
        <v>4233</v>
      </c>
      <c r="AO264" t="s">
        <v>4198</v>
      </c>
      <c r="AP264" t="s">
        <v>74</v>
      </c>
      <c r="AQ264" t="s">
        <v>74</v>
      </c>
      <c r="AR264" t="s">
        <v>4200</v>
      </c>
      <c r="AS264" t="s">
        <v>4201</v>
      </c>
      <c r="AT264" t="s">
        <v>74</v>
      </c>
      <c r="AU264">
        <v>2004</v>
      </c>
      <c r="AV264">
        <v>22</v>
      </c>
      <c r="AW264">
        <v>12</v>
      </c>
      <c r="AX264" t="s">
        <v>74</v>
      </c>
      <c r="AY264" t="s">
        <v>74</v>
      </c>
      <c r="AZ264" t="s">
        <v>74</v>
      </c>
      <c r="BA264" t="s">
        <v>74</v>
      </c>
      <c r="BB264">
        <v>4049</v>
      </c>
      <c r="BC264">
        <v>4059</v>
      </c>
      <c r="BD264" t="s">
        <v>74</v>
      </c>
      <c r="BE264" t="s">
        <v>4355</v>
      </c>
      <c r="BF264" t="str">
        <f>HYPERLINK("http://dx.doi.org/10.5194/angeo-22-4049-2004","http://dx.doi.org/10.5194/angeo-22-4049-2004")</f>
        <v>http://dx.doi.org/10.5194/angeo-22-4049-2004</v>
      </c>
      <c r="BG264" t="s">
        <v>74</v>
      </c>
      <c r="BH264" t="s">
        <v>74</v>
      </c>
      <c r="BI264">
        <v>11</v>
      </c>
      <c r="BJ264" t="s">
        <v>4203</v>
      </c>
      <c r="BK264" t="s">
        <v>96</v>
      </c>
      <c r="BL264" t="s">
        <v>4204</v>
      </c>
      <c r="BM264" t="s">
        <v>4342</v>
      </c>
      <c r="BN264" t="s">
        <v>74</v>
      </c>
      <c r="BO264" t="s">
        <v>4206</v>
      </c>
      <c r="BP264" t="s">
        <v>74</v>
      </c>
      <c r="BQ264" t="s">
        <v>74</v>
      </c>
      <c r="BR264" t="s">
        <v>99</v>
      </c>
      <c r="BS264" t="s">
        <v>4356</v>
      </c>
      <c r="BT264" t="str">
        <f>HYPERLINK("https%3A%2F%2Fwww.webofscience.com%2Fwos%2Fwoscc%2Ffull-record%2FWOS:000226831100004","View Full Record in Web of Science")</f>
        <v>View Full Record in Web of Science</v>
      </c>
    </row>
    <row r="265" spans="1:72" x14ac:dyDescent="0.15">
      <c r="A265" t="s">
        <v>72</v>
      </c>
      <c r="B265" t="s">
        <v>4357</v>
      </c>
      <c r="C265" t="s">
        <v>74</v>
      </c>
      <c r="D265" t="s">
        <v>74</v>
      </c>
      <c r="E265" t="s">
        <v>74</v>
      </c>
      <c r="F265" t="s">
        <v>4357</v>
      </c>
      <c r="G265" t="s">
        <v>74</v>
      </c>
      <c r="H265" t="s">
        <v>74</v>
      </c>
      <c r="I265" t="s">
        <v>4358</v>
      </c>
      <c r="J265" t="s">
        <v>4189</v>
      </c>
      <c r="K265" t="s">
        <v>74</v>
      </c>
      <c r="L265" t="s">
        <v>74</v>
      </c>
      <c r="M265" t="s">
        <v>77</v>
      </c>
      <c r="N265" t="s">
        <v>78</v>
      </c>
      <c r="O265" t="s">
        <v>74</v>
      </c>
      <c r="P265" t="s">
        <v>74</v>
      </c>
      <c r="Q265" t="s">
        <v>74</v>
      </c>
      <c r="R265" t="s">
        <v>74</v>
      </c>
      <c r="S265" t="s">
        <v>74</v>
      </c>
      <c r="T265" t="s">
        <v>4359</v>
      </c>
      <c r="U265" t="s">
        <v>4360</v>
      </c>
      <c r="V265" t="s">
        <v>4361</v>
      </c>
      <c r="W265" t="s">
        <v>81</v>
      </c>
      <c r="X265" t="s">
        <v>82</v>
      </c>
      <c r="Y265" t="s">
        <v>74</v>
      </c>
      <c r="Z265" t="s">
        <v>4362</v>
      </c>
      <c r="AA265" t="s">
        <v>74</v>
      </c>
      <c r="AB265" t="s">
        <v>74</v>
      </c>
      <c r="AC265" t="s">
        <v>74</v>
      </c>
      <c r="AD265" t="s">
        <v>74</v>
      </c>
      <c r="AE265" t="s">
        <v>74</v>
      </c>
      <c r="AF265" t="s">
        <v>74</v>
      </c>
      <c r="AG265">
        <v>58</v>
      </c>
      <c r="AH265">
        <v>11</v>
      </c>
      <c r="AI265">
        <v>12</v>
      </c>
      <c r="AJ265">
        <v>0</v>
      </c>
      <c r="AK265">
        <v>0</v>
      </c>
      <c r="AL265" t="s">
        <v>4195</v>
      </c>
      <c r="AM265" t="s">
        <v>4196</v>
      </c>
      <c r="AN265" t="s">
        <v>4197</v>
      </c>
      <c r="AO265" t="s">
        <v>4198</v>
      </c>
      <c r="AP265" t="s">
        <v>4199</v>
      </c>
      <c r="AQ265" t="s">
        <v>74</v>
      </c>
      <c r="AR265" t="s">
        <v>4200</v>
      </c>
      <c r="AS265" t="s">
        <v>4201</v>
      </c>
      <c r="AT265" t="s">
        <v>74</v>
      </c>
      <c r="AU265">
        <v>2004</v>
      </c>
      <c r="AV265">
        <v>22</v>
      </c>
      <c r="AW265">
        <v>12</v>
      </c>
      <c r="AX265" t="s">
        <v>74</v>
      </c>
      <c r="AY265" t="s">
        <v>74</v>
      </c>
      <c r="AZ265" t="s">
        <v>74</v>
      </c>
      <c r="BA265" t="s">
        <v>74</v>
      </c>
      <c r="BB265">
        <v>4103</v>
      </c>
      <c r="BC265">
        <v>4122</v>
      </c>
      <c r="BD265" t="s">
        <v>74</v>
      </c>
      <c r="BE265" t="s">
        <v>4363</v>
      </c>
      <c r="BF265" t="str">
        <f>HYPERLINK("http://dx.doi.org/10.5194/angeo-22-4103-2004","http://dx.doi.org/10.5194/angeo-22-4103-2004")</f>
        <v>http://dx.doi.org/10.5194/angeo-22-4103-2004</v>
      </c>
      <c r="BG265" t="s">
        <v>74</v>
      </c>
      <c r="BH265" t="s">
        <v>74</v>
      </c>
      <c r="BI265">
        <v>20</v>
      </c>
      <c r="BJ265" t="s">
        <v>4203</v>
      </c>
      <c r="BK265" t="s">
        <v>96</v>
      </c>
      <c r="BL265" t="s">
        <v>4204</v>
      </c>
      <c r="BM265" t="s">
        <v>4342</v>
      </c>
      <c r="BN265" t="s">
        <v>74</v>
      </c>
      <c r="BO265" t="s">
        <v>4206</v>
      </c>
      <c r="BP265" t="s">
        <v>74</v>
      </c>
      <c r="BQ265" t="s">
        <v>74</v>
      </c>
      <c r="BR265" t="s">
        <v>99</v>
      </c>
      <c r="BS265" t="s">
        <v>4364</v>
      </c>
      <c r="BT265" t="str">
        <f>HYPERLINK("https%3A%2F%2Fwww.webofscience.com%2Fwos%2Fwoscc%2Ffull-record%2FWOS:000226831100009","View Full Record in Web of Science")</f>
        <v>View Full Record in Web of Science</v>
      </c>
    </row>
    <row r="266" spans="1:72" x14ac:dyDescent="0.15">
      <c r="A266" t="s">
        <v>72</v>
      </c>
      <c r="B266" t="s">
        <v>4365</v>
      </c>
      <c r="C266" t="s">
        <v>74</v>
      </c>
      <c r="D266" t="s">
        <v>74</v>
      </c>
      <c r="E266" t="s">
        <v>74</v>
      </c>
      <c r="F266" t="s">
        <v>4365</v>
      </c>
      <c r="G266" t="s">
        <v>74</v>
      </c>
      <c r="H266" t="s">
        <v>74</v>
      </c>
      <c r="I266" t="s">
        <v>4366</v>
      </c>
      <c r="J266" t="s">
        <v>4189</v>
      </c>
      <c r="K266" t="s">
        <v>74</v>
      </c>
      <c r="L266" t="s">
        <v>74</v>
      </c>
      <c r="M266" t="s">
        <v>77</v>
      </c>
      <c r="N266" t="s">
        <v>78</v>
      </c>
      <c r="O266" t="s">
        <v>74</v>
      </c>
      <c r="P266" t="s">
        <v>74</v>
      </c>
      <c r="Q266" t="s">
        <v>74</v>
      </c>
      <c r="R266" t="s">
        <v>74</v>
      </c>
      <c r="S266" t="s">
        <v>74</v>
      </c>
      <c r="T266" t="s">
        <v>4367</v>
      </c>
      <c r="U266" t="s">
        <v>4368</v>
      </c>
      <c r="V266" t="s">
        <v>4369</v>
      </c>
      <c r="W266" t="s">
        <v>4370</v>
      </c>
      <c r="X266" t="s">
        <v>4371</v>
      </c>
      <c r="Y266" t="s">
        <v>4372</v>
      </c>
      <c r="Z266" t="s">
        <v>4193</v>
      </c>
      <c r="AA266" t="s">
        <v>4373</v>
      </c>
      <c r="AB266" t="s">
        <v>4374</v>
      </c>
      <c r="AC266" t="s">
        <v>74</v>
      </c>
      <c r="AD266" t="s">
        <v>74</v>
      </c>
      <c r="AE266" t="s">
        <v>74</v>
      </c>
      <c r="AF266" t="s">
        <v>74</v>
      </c>
      <c r="AG266">
        <v>52</v>
      </c>
      <c r="AH266">
        <v>52</v>
      </c>
      <c r="AI266">
        <v>52</v>
      </c>
      <c r="AJ266">
        <v>0</v>
      </c>
      <c r="AK266">
        <v>6</v>
      </c>
      <c r="AL266" t="s">
        <v>4275</v>
      </c>
      <c r="AM266" t="s">
        <v>4232</v>
      </c>
      <c r="AN266" t="s">
        <v>4233</v>
      </c>
      <c r="AO266" t="s">
        <v>4198</v>
      </c>
      <c r="AP266" t="s">
        <v>74</v>
      </c>
      <c r="AQ266" t="s">
        <v>74</v>
      </c>
      <c r="AR266" t="s">
        <v>4200</v>
      </c>
      <c r="AS266" t="s">
        <v>4201</v>
      </c>
      <c r="AT266" t="s">
        <v>74</v>
      </c>
      <c r="AU266">
        <v>2004</v>
      </c>
      <c r="AV266">
        <v>22</v>
      </c>
      <c r="AW266">
        <v>12</v>
      </c>
      <c r="AX266" t="s">
        <v>74</v>
      </c>
      <c r="AY266" t="s">
        <v>74</v>
      </c>
      <c r="AZ266" t="s">
        <v>74</v>
      </c>
      <c r="BA266" t="s">
        <v>74</v>
      </c>
      <c r="BB266">
        <v>4243</v>
      </c>
      <c r="BC266">
        <v>4258</v>
      </c>
      <c r="BD266" t="s">
        <v>74</v>
      </c>
      <c r="BE266" t="s">
        <v>4375</v>
      </c>
      <c r="BF266" t="str">
        <f>HYPERLINK("http://dx.doi.org/10.5194/angeo-22-4243-2004","http://dx.doi.org/10.5194/angeo-22-4243-2004")</f>
        <v>http://dx.doi.org/10.5194/angeo-22-4243-2004</v>
      </c>
      <c r="BG266" t="s">
        <v>74</v>
      </c>
      <c r="BH266" t="s">
        <v>74</v>
      </c>
      <c r="BI266">
        <v>16</v>
      </c>
      <c r="BJ266" t="s">
        <v>4203</v>
      </c>
      <c r="BK266" t="s">
        <v>96</v>
      </c>
      <c r="BL266" t="s">
        <v>4204</v>
      </c>
      <c r="BM266" t="s">
        <v>4342</v>
      </c>
      <c r="BN266" t="s">
        <v>74</v>
      </c>
      <c r="BO266" t="s">
        <v>4206</v>
      </c>
      <c r="BP266" t="s">
        <v>74</v>
      </c>
      <c r="BQ266" t="s">
        <v>74</v>
      </c>
      <c r="BR266" t="s">
        <v>99</v>
      </c>
      <c r="BS266" t="s">
        <v>4376</v>
      </c>
      <c r="BT266" t="str">
        <f>HYPERLINK("https%3A%2F%2Fwww.webofscience.com%2Fwos%2Fwoscc%2Ffull-record%2FWOS:000226831100020","View Full Record in Web of Science")</f>
        <v>View Full Record in Web of Science</v>
      </c>
    </row>
    <row r="267" spans="1:72" x14ac:dyDescent="0.15">
      <c r="A267" t="s">
        <v>497</v>
      </c>
      <c r="B267" t="s">
        <v>4377</v>
      </c>
      <c r="C267" t="s">
        <v>74</v>
      </c>
      <c r="D267" t="s">
        <v>4378</v>
      </c>
      <c r="E267" t="s">
        <v>74</v>
      </c>
      <c r="F267" t="s">
        <v>4377</v>
      </c>
      <c r="G267" t="s">
        <v>74</v>
      </c>
      <c r="H267" t="s">
        <v>74</v>
      </c>
      <c r="I267" t="s">
        <v>4379</v>
      </c>
      <c r="J267" t="s">
        <v>4380</v>
      </c>
      <c r="K267" t="s">
        <v>4381</v>
      </c>
      <c r="L267" t="s">
        <v>74</v>
      </c>
      <c r="M267" t="s">
        <v>77</v>
      </c>
      <c r="N267" t="s">
        <v>311</v>
      </c>
      <c r="O267" t="s">
        <v>4382</v>
      </c>
      <c r="P267" t="s">
        <v>4383</v>
      </c>
      <c r="Q267" t="s">
        <v>4384</v>
      </c>
      <c r="R267" t="s">
        <v>74</v>
      </c>
      <c r="S267" t="s">
        <v>4385</v>
      </c>
      <c r="T267" t="s">
        <v>74</v>
      </c>
      <c r="U267" t="s">
        <v>4386</v>
      </c>
      <c r="V267" t="s">
        <v>4387</v>
      </c>
      <c r="W267" t="s">
        <v>4388</v>
      </c>
      <c r="X267" t="s">
        <v>4389</v>
      </c>
      <c r="Y267" t="s">
        <v>74</v>
      </c>
      <c r="Z267" t="s">
        <v>4390</v>
      </c>
      <c r="AA267" t="s">
        <v>4391</v>
      </c>
      <c r="AB267" t="s">
        <v>4392</v>
      </c>
      <c r="AC267" t="s">
        <v>74</v>
      </c>
      <c r="AD267" t="s">
        <v>74</v>
      </c>
      <c r="AE267" t="s">
        <v>74</v>
      </c>
      <c r="AF267" t="s">
        <v>74</v>
      </c>
      <c r="AG267">
        <v>21</v>
      </c>
      <c r="AH267">
        <v>19</v>
      </c>
      <c r="AI267">
        <v>20</v>
      </c>
      <c r="AJ267">
        <v>0</v>
      </c>
      <c r="AK267">
        <v>5</v>
      </c>
      <c r="AL267" t="s">
        <v>4393</v>
      </c>
      <c r="AM267" t="s">
        <v>824</v>
      </c>
      <c r="AN267" t="s">
        <v>4394</v>
      </c>
      <c r="AO267" t="s">
        <v>4395</v>
      </c>
      <c r="AP267" t="s">
        <v>74</v>
      </c>
      <c r="AQ267" t="s">
        <v>4396</v>
      </c>
      <c r="AR267" t="s">
        <v>4397</v>
      </c>
      <c r="AS267" t="s">
        <v>74</v>
      </c>
      <c r="AT267" t="s">
        <v>74</v>
      </c>
      <c r="AU267">
        <v>2004</v>
      </c>
      <c r="AV267">
        <v>39</v>
      </c>
      <c r="AW267" t="s">
        <v>74</v>
      </c>
      <c r="AX267" t="s">
        <v>74</v>
      </c>
      <c r="AY267" t="s">
        <v>74</v>
      </c>
      <c r="AZ267" t="s">
        <v>74</v>
      </c>
      <c r="BA267" t="s">
        <v>74</v>
      </c>
      <c r="BB267">
        <v>1</v>
      </c>
      <c r="BC267">
        <v>8</v>
      </c>
      <c r="BD267" t="s">
        <v>74</v>
      </c>
      <c r="BE267" t="s">
        <v>4398</v>
      </c>
      <c r="BF267" t="str">
        <f>HYPERLINK("http://dx.doi.org/10.3189/172756404781814537","http://dx.doi.org/10.3189/172756404781814537")</f>
        <v>http://dx.doi.org/10.3189/172756404781814537</v>
      </c>
      <c r="BG267" t="s">
        <v>74</v>
      </c>
      <c r="BH267" t="s">
        <v>74</v>
      </c>
      <c r="BI267">
        <v>8</v>
      </c>
      <c r="BJ267" t="s">
        <v>560</v>
      </c>
      <c r="BK267" t="s">
        <v>1116</v>
      </c>
      <c r="BL267" t="s">
        <v>561</v>
      </c>
      <c r="BM267" t="s">
        <v>4399</v>
      </c>
      <c r="BN267" t="s">
        <v>74</v>
      </c>
      <c r="BO267" t="s">
        <v>541</v>
      </c>
      <c r="BP267" t="s">
        <v>74</v>
      </c>
      <c r="BQ267" t="s">
        <v>74</v>
      </c>
      <c r="BR267" t="s">
        <v>99</v>
      </c>
      <c r="BS267" t="s">
        <v>4400</v>
      </c>
      <c r="BT267" t="str">
        <f>HYPERLINK("https%3A%2F%2Fwww.webofscience.com%2Fwos%2Fwoscc%2Ffull-record%2FWOS:000232368400001","View Full Record in Web of Science")</f>
        <v>View Full Record in Web of Science</v>
      </c>
    </row>
    <row r="268" spans="1:72" x14ac:dyDescent="0.15">
      <c r="A268" t="s">
        <v>497</v>
      </c>
      <c r="B268" t="s">
        <v>4401</v>
      </c>
      <c r="C268" t="s">
        <v>74</v>
      </c>
      <c r="D268" t="s">
        <v>4378</v>
      </c>
      <c r="E268" t="s">
        <v>74</v>
      </c>
      <c r="F268" t="s">
        <v>4401</v>
      </c>
      <c r="G268" t="s">
        <v>74</v>
      </c>
      <c r="H268" t="s">
        <v>74</v>
      </c>
      <c r="I268" t="s">
        <v>4402</v>
      </c>
      <c r="J268" t="s">
        <v>4380</v>
      </c>
      <c r="K268" t="s">
        <v>4381</v>
      </c>
      <c r="L268" t="s">
        <v>74</v>
      </c>
      <c r="M268" t="s">
        <v>77</v>
      </c>
      <c r="N268" t="s">
        <v>311</v>
      </c>
      <c r="O268" t="s">
        <v>4382</v>
      </c>
      <c r="P268" t="s">
        <v>4383</v>
      </c>
      <c r="Q268" t="s">
        <v>4384</v>
      </c>
      <c r="R268" t="s">
        <v>74</v>
      </c>
      <c r="S268" t="s">
        <v>4385</v>
      </c>
      <c r="T268" t="s">
        <v>74</v>
      </c>
      <c r="U268" t="s">
        <v>4403</v>
      </c>
      <c r="V268" t="s">
        <v>4404</v>
      </c>
      <c r="W268" t="s">
        <v>4405</v>
      </c>
      <c r="X268" t="s">
        <v>4406</v>
      </c>
      <c r="Y268" t="s">
        <v>4407</v>
      </c>
      <c r="Z268" t="s">
        <v>4408</v>
      </c>
      <c r="AA268" t="s">
        <v>74</v>
      </c>
      <c r="AB268" t="s">
        <v>74</v>
      </c>
      <c r="AC268" t="s">
        <v>74</v>
      </c>
      <c r="AD268" t="s">
        <v>74</v>
      </c>
      <c r="AE268" t="s">
        <v>74</v>
      </c>
      <c r="AF268" t="s">
        <v>74</v>
      </c>
      <c r="AG268">
        <v>12</v>
      </c>
      <c r="AH268">
        <v>5</v>
      </c>
      <c r="AI268">
        <v>5</v>
      </c>
      <c r="AJ268">
        <v>0</v>
      </c>
      <c r="AK268">
        <v>2</v>
      </c>
      <c r="AL268" t="s">
        <v>4393</v>
      </c>
      <c r="AM268" t="s">
        <v>824</v>
      </c>
      <c r="AN268" t="s">
        <v>4394</v>
      </c>
      <c r="AO268" t="s">
        <v>4395</v>
      </c>
      <c r="AP268" t="s">
        <v>74</v>
      </c>
      <c r="AQ268" t="s">
        <v>4396</v>
      </c>
      <c r="AR268" t="s">
        <v>4397</v>
      </c>
      <c r="AS268" t="s">
        <v>74</v>
      </c>
      <c r="AT268" t="s">
        <v>74</v>
      </c>
      <c r="AU268">
        <v>2004</v>
      </c>
      <c r="AV268">
        <v>39</v>
      </c>
      <c r="AW268" t="s">
        <v>74</v>
      </c>
      <c r="AX268" t="s">
        <v>74</v>
      </c>
      <c r="AY268" t="s">
        <v>74</v>
      </c>
      <c r="AZ268" t="s">
        <v>74</v>
      </c>
      <c r="BA268" t="s">
        <v>74</v>
      </c>
      <c r="BB268">
        <v>9</v>
      </c>
      <c r="BC268">
        <v>12</v>
      </c>
      <c r="BD268" t="s">
        <v>74</v>
      </c>
      <c r="BE268" t="s">
        <v>4409</v>
      </c>
      <c r="BF268" t="str">
        <f>HYPERLINK("http://dx.doi.org/10.3189/172756404781813998","http://dx.doi.org/10.3189/172756404781813998")</f>
        <v>http://dx.doi.org/10.3189/172756404781813998</v>
      </c>
      <c r="BG268" t="s">
        <v>74</v>
      </c>
      <c r="BH268" t="s">
        <v>74</v>
      </c>
      <c r="BI268">
        <v>4</v>
      </c>
      <c r="BJ268" t="s">
        <v>560</v>
      </c>
      <c r="BK268" t="s">
        <v>1116</v>
      </c>
      <c r="BL268" t="s">
        <v>561</v>
      </c>
      <c r="BM268" t="s">
        <v>4399</v>
      </c>
      <c r="BN268" t="s">
        <v>74</v>
      </c>
      <c r="BO268" t="s">
        <v>541</v>
      </c>
      <c r="BP268" t="s">
        <v>74</v>
      </c>
      <c r="BQ268" t="s">
        <v>74</v>
      </c>
      <c r="BR268" t="s">
        <v>99</v>
      </c>
      <c r="BS268" t="s">
        <v>4410</v>
      </c>
      <c r="BT268" t="str">
        <f>HYPERLINK("https%3A%2F%2Fwww.webofscience.com%2Fwos%2Fwoscc%2Ffull-record%2FWOS:000232368400002","View Full Record in Web of Science")</f>
        <v>View Full Record in Web of Science</v>
      </c>
    </row>
    <row r="269" spans="1:72" x14ac:dyDescent="0.15">
      <c r="A269" t="s">
        <v>497</v>
      </c>
      <c r="B269" t="s">
        <v>4411</v>
      </c>
      <c r="C269" t="s">
        <v>74</v>
      </c>
      <c r="D269" t="s">
        <v>4378</v>
      </c>
      <c r="E269" t="s">
        <v>74</v>
      </c>
      <c r="F269" t="s">
        <v>4411</v>
      </c>
      <c r="G269" t="s">
        <v>74</v>
      </c>
      <c r="H269" t="s">
        <v>74</v>
      </c>
      <c r="I269" t="s">
        <v>4412</v>
      </c>
      <c r="J269" t="s">
        <v>4380</v>
      </c>
      <c r="K269" t="s">
        <v>4381</v>
      </c>
      <c r="L269" t="s">
        <v>74</v>
      </c>
      <c r="M269" t="s">
        <v>77</v>
      </c>
      <c r="N269" t="s">
        <v>311</v>
      </c>
      <c r="O269" t="s">
        <v>4382</v>
      </c>
      <c r="P269" t="s">
        <v>4383</v>
      </c>
      <c r="Q269" t="s">
        <v>4384</v>
      </c>
      <c r="R269" t="s">
        <v>74</v>
      </c>
      <c r="S269" t="s">
        <v>4385</v>
      </c>
      <c r="T269" t="s">
        <v>74</v>
      </c>
      <c r="U269" t="s">
        <v>4413</v>
      </c>
      <c r="V269" t="s">
        <v>4414</v>
      </c>
      <c r="W269" t="s">
        <v>4415</v>
      </c>
      <c r="X269" t="s">
        <v>4416</v>
      </c>
      <c r="Y269" t="s">
        <v>4417</v>
      </c>
      <c r="Z269" t="s">
        <v>4418</v>
      </c>
      <c r="AA269" t="s">
        <v>4419</v>
      </c>
      <c r="AB269" t="s">
        <v>74</v>
      </c>
      <c r="AC269" t="s">
        <v>74</v>
      </c>
      <c r="AD269" t="s">
        <v>74</v>
      </c>
      <c r="AE269" t="s">
        <v>74</v>
      </c>
      <c r="AF269" t="s">
        <v>74</v>
      </c>
      <c r="AG269">
        <v>24</v>
      </c>
      <c r="AH269">
        <v>11</v>
      </c>
      <c r="AI269">
        <v>11</v>
      </c>
      <c r="AJ269">
        <v>0</v>
      </c>
      <c r="AK269">
        <v>3</v>
      </c>
      <c r="AL269" t="s">
        <v>4393</v>
      </c>
      <c r="AM269" t="s">
        <v>824</v>
      </c>
      <c r="AN269" t="s">
        <v>4394</v>
      </c>
      <c r="AO269" t="s">
        <v>4395</v>
      </c>
      <c r="AP269" t="s">
        <v>74</v>
      </c>
      <c r="AQ269" t="s">
        <v>4396</v>
      </c>
      <c r="AR269" t="s">
        <v>4397</v>
      </c>
      <c r="AS269" t="s">
        <v>74</v>
      </c>
      <c r="AT269" t="s">
        <v>74</v>
      </c>
      <c r="AU269">
        <v>2004</v>
      </c>
      <c r="AV269">
        <v>39</v>
      </c>
      <c r="AW269" t="s">
        <v>74</v>
      </c>
      <c r="AX269" t="s">
        <v>74</v>
      </c>
      <c r="AY269" t="s">
        <v>74</v>
      </c>
      <c r="AZ269" t="s">
        <v>74</v>
      </c>
      <c r="BA269" t="s">
        <v>74</v>
      </c>
      <c r="BB269">
        <v>13</v>
      </c>
      <c r="BC269">
        <v>19</v>
      </c>
      <c r="BD269" t="s">
        <v>74</v>
      </c>
      <c r="BE269" t="s">
        <v>4420</v>
      </c>
      <c r="BF269" t="str">
        <f>HYPERLINK("http://dx.doi.org/10.3189/172756404781814708","http://dx.doi.org/10.3189/172756404781814708")</f>
        <v>http://dx.doi.org/10.3189/172756404781814708</v>
      </c>
      <c r="BG269" t="s">
        <v>74</v>
      </c>
      <c r="BH269" t="s">
        <v>74</v>
      </c>
      <c r="BI269">
        <v>7</v>
      </c>
      <c r="BJ269" t="s">
        <v>560</v>
      </c>
      <c r="BK269" t="s">
        <v>1116</v>
      </c>
      <c r="BL269" t="s">
        <v>561</v>
      </c>
      <c r="BM269" t="s">
        <v>4399</v>
      </c>
      <c r="BN269" t="s">
        <v>74</v>
      </c>
      <c r="BO269" t="s">
        <v>541</v>
      </c>
      <c r="BP269" t="s">
        <v>74</v>
      </c>
      <c r="BQ269" t="s">
        <v>74</v>
      </c>
      <c r="BR269" t="s">
        <v>99</v>
      </c>
      <c r="BS269" t="s">
        <v>4421</v>
      </c>
      <c r="BT269" t="str">
        <f>HYPERLINK("https%3A%2F%2Fwww.webofscience.com%2Fwos%2Fwoscc%2Ffull-record%2FWOS:000232368400003","View Full Record in Web of Science")</f>
        <v>View Full Record in Web of Science</v>
      </c>
    </row>
    <row r="270" spans="1:72" x14ac:dyDescent="0.15">
      <c r="A270" t="s">
        <v>497</v>
      </c>
      <c r="B270" t="s">
        <v>4422</v>
      </c>
      <c r="C270" t="s">
        <v>74</v>
      </c>
      <c r="D270" t="s">
        <v>4378</v>
      </c>
      <c r="E270" t="s">
        <v>74</v>
      </c>
      <c r="F270" t="s">
        <v>4422</v>
      </c>
      <c r="G270" t="s">
        <v>74</v>
      </c>
      <c r="H270" t="s">
        <v>74</v>
      </c>
      <c r="I270" t="s">
        <v>4423</v>
      </c>
      <c r="J270" t="s">
        <v>4380</v>
      </c>
      <c r="K270" t="s">
        <v>4381</v>
      </c>
      <c r="L270" t="s">
        <v>74</v>
      </c>
      <c r="M270" t="s">
        <v>77</v>
      </c>
      <c r="N270" t="s">
        <v>311</v>
      </c>
      <c r="O270" t="s">
        <v>4382</v>
      </c>
      <c r="P270" t="s">
        <v>4383</v>
      </c>
      <c r="Q270" t="s">
        <v>4384</v>
      </c>
      <c r="R270" t="s">
        <v>74</v>
      </c>
      <c r="S270" t="s">
        <v>4385</v>
      </c>
      <c r="T270" t="s">
        <v>74</v>
      </c>
      <c r="U270" t="s">
        <v>4424</v>
      </c>
      <c r="V270" t="s">
        <v>4425</v>
      </c>
      <c r="W270" t="s">
        <v>4426</v>
      </c>
      <c r="X270" t="s">
        <v>4427</v>
      </c>
      <c r="Y270" t="s">
        <v>4428</v>
      </c>
      <c r="Z270" t="s">
        <v>4429</v>
      </c>
      <c r="AA270" t="s">
        <v>4430</v>
      </c>
      <c r="AB270" t="s">
        <v>4431</v>
      </c>
      <c r="AC270" t="s">
        <v>74</v>
      </c>
      <c r="AD270" t="s">
        <v>74</v>
      </c>
      <c r="AE270" t="s">
        <v>74</v>
      </c>
      <c r="AF270" t="s">
        <v>74</v>
      </c>
      <c r="AG270">
        <v>17</v>
      </c>
      <c r="AH270">
        <v>13</v>
      </c>
      <c r="AI270">
        <v>16</v>
      </c>
      <c r="AJ270">
        <v>0</v>
      </c>
      <c r="AK270">
        <v>7</v>
      </c>
      <c r="AL270" t="s">
        <v>4393</v>
      </c>
      <c r="AM270" t="s">
        <v>824</v>
      </c>
      <c r="AN270" t="s">
        <v>4394</v>
      </c>
      <c r="AO270" t="s">
        <v>4395</v>
      </c>
      <c r="AP270" t="s">
        <v>74</v>
      </c>
      <c r="AQ270" t="s">
        <v>4396</v>
      </c>
      <c r="AR270" t="s">
        <v>4397</v>
      </c>
      <c r="AS270" t="s">
        <v>74</v>
      </c>
      <c r="AT270" t="s">
        <v>74</v>
      </c>
      <c r="AU270">
        <v>2004</v>
      </c>
      <c r="AV270">
        <v>39</v>
      </c>
      <c r="AW270" t="s">
        <v>74</v>
      </c>
      <c r="AX270" t="s">
        <v>74</v>
      </c>
      <c r="AY270" t="s">
        <v>74</v>
      </c>
      <c r="AZ270" t="s">
        <v>74</v>
      </c>
      <c r="BA270" t="s">
        <v>74</v>
      </c>
      <c r="BB270">
        <v>20</v>
      </c>
      <c r="BC270">
        <v>28</v>
      </c>
      <c r="BD270" t="s">
        <v>74</v>
      </c>
      <c r="BE270" t="s">
        <v>4432</v>
      </c>
      <c r="BF270" t="str">
        <f>HYPERLINK("http://dx.doi.org/10.3189/172756404781814564","http://dx.doi.org/10.3189/172756404781814564")</f>
        <v>http://dx.doi.org/10.3189/172756404781814564</v>
      </c>
      <c r="BG270" t="s">
        <v>74</v>
      </c>
      <c r="BH270" t="s">
        <v>74</v>
      </c>
      <c r="BI270">
        <v>9</v>
      </c>
      <c r="BJ270" t="s">
        <v>560</v>
      </c>
      <c r="BK270" t="s">
        <v>1116</v>
      </c>
      <c r="BL270" t="s">
        <v>561</v>
      </c>
      <c r="BM270" t="s">
        <v>4399</v>
      </c>
      <c r="BN270" t="s">
        <v>74</v>
      </c>
      <c r="BO270" t="s">
        <v>541</v>
      </c>
      <c r="BP270" t="s">
        <v>74</v>
      </c>
      <c r="BQ270" t="s">
        <v>74</v>
      </c>
      <c r="BR270" t="s">
        <v>99</v>
      </c>
      <c r="BS270" t="s">
        <v>4433</v>
      </c>
      <c r="BT270" t="str">
        <f>HYPERLINK("https%3A%2F%2Fwww.webofscience.com%2Fwos%2Fwoscc%2Ffull-record%2FWOS:000232368400004","View Full Record in Web of Science")</f>
        <v>View Full Record in Web of Science</v>
      </c>
    </row>
    <row r="271" spans="1:72" x14ac:dyDescent="0.15">
      <c r="A271" t="s">
        <v>497</v>
      </c>
      <c r="B271" t="s">
        <v>4434</v>
      </c>
      <c r="C271" t="s">
        <v>74</v>
      </c>
      <c r="D271" t="s">
        <v>4378</v>
      </c>
      <c r="E271" t="s">
        <v>74</v>
      </c>
      <c r="F271" t="s">
        <v>4434</v>
      </c>
      <c r="G271" t="s">
        <v>74</v>
      </c>
      <c r="H271" t="s">
        <v>74</v>
      </c>
      <c r="I271" t="s">
        <v>4435</v>
      </c>
      <c r="J271" t="s">
        <v>4380</v>
      </c>
      <c r="K271" t="s">
        <v>4381</v>
      </c>
      <c r="L271" t="s">
        <v>74</v>
      </c>
      <c r="M271" t="s">
        <v>77</v>
      </c>
      <c r="N271" t="s">
        <v>311</v>
      </c>
      <c r="O271" t="s">
        <v>4382</v>
      </c>
      <c r="P271" t="s">
        <v>4383</v>
      </c>
      <c r="Q271" t="s">
        <v>4384</v>
      </c>
      <c r="R271" t="s">
        <v>74</v>
      </c>
      <c r="S271" t="s">
        <v>4385</v>
      </c>
      <c r="T271" t="s">
        <v>74</v>
      </c>
      <c r="U271" t="s">
        <v>4436</v>
      </c>
      <c r="V271" t="s">
        <v>4437</v>
      </c>
      <c r="W271" t="s">
        <v>4438</v>
      </c>
      <c r="X271" t="s">
        <v>1966</v>
      </c>
      <c r="Y271" t="s">
        <v>4439</v>
      </c>
      <c r="Z271" t="s">
        <v>4440</v>
      </c>
      <c r="AA271" t="s">
        <v>4441</v>
      </c>
      <c r="AB271" t="s">
        <v>4442</v>
      </c>
      <c r="AC271" t="s">
        <v>74</v>
      </c>
      <c r="AD271" t="s">
        <v>74</v>
      </c>
      <c r="AE271" t="s">
        <v>74</v>
      </c>
      <c r="AF271" t="s">
        <v>74</v>
      </c>
      <c r="AG271">
        <v>31</v>
      </c>
      <c r="AH271">
        <v>16</v>
      </c>
      <c r="AI271">
        <v>17</v>
      </c>
      <c r="AJ271">
        <v>0</v>
      </c>
      <c r="AK271">
        <v>5</v>
      </c>
      <c r="AL271" t="s">
        <v>4393</v>
      </c>
      <c r="AM271" t="s">
        <v>824</v>
      </c>
      <c r="AN271" t="s">
        <v>4394</v>
      </c>
      <c r="AO271" t="s">
        <v>4395</v>
      </c>
      <c r="AP271" t="s">
        <v>74</v>
      </c>
      <c r="AQ271" t="s">
        <v>4396</v>
      </c>
      <c r="AR271" t="s">
        <v>4397</v>
      </c>
      <c r="AS271" t="s">
        <v>74</v>
      </c>
      <c r="AT271" t="s">
        <v>74</v>
      </c>
      <c r="AU271">
        <v>2004</v>
      </c>
      <c r="AV271">
        <v>39</v>
      </c>
      <c r="AW271" t="s">
        <v>74</v>
      </c>
      <c r="AX271" t="s">
        <v>74</v>
      </c>
      <c r="AY271" t="s">
        <v>74</v>
      </c>
      <c r="AZ271" t="s">
        <v>74</v>
      </c>
      <c r="BA271" t="s">
        <v>74</v>
      </c>
      <c r="BB271">
        <v>29</v>
      </c>
      <c r="BC271">
        <v>33</v>
      </c>
      <c r="BD271" t="s">
        <v>74</v>
      </c>
      <c r="BE271" t="s">
        <v>4443</v>
      </c>
      <c r="BF271" t="str">
        <f>HYPERLINK("http://dx.doi.org/10.3189/172756404781814357","http://dx.doi.org/10.3189/172756404781814357")</f>
        <v>http://dx.doi.org/10.3189/172756404781814357</v>
      </c>
      <c r="BG271" t="s">
        <v>74</v>
      </c>
      <c r="BH271" t="s">
        <v>74</v>
      </c>
      <c r="BI271">
        <v>5</v>
      </c>
      <c r="BJ271" t="s">
        <v>560</v>
      </c>
      <c r="BK271" t="s">
        <v>1116</v>
      </c>
      <c r="BL271" t="s">
        <v>561</v>
      </c>
      <c r="BM271" t="s">
        <v>4399</v>
      </c>
      <c r="BN271" t="s">
        <v>74</v>
      </c>
      <c r="BO271" t="s">
        <v>286</v>
      </c>
      <c r="BP271" t="s">
        <v>74</v>
      </c>
      <c r="BQ271" t="s">
        <v>74</v>
      </c>
      <c r="BR271" t="s">
        <v>99</v>
      </c>
      <c r="BS271" t="s">
        <v>4444</v>
      </c>
      <c r="BT271" t="str">
        <f>HYPERLINK("https%3A%2F%2Fwww.webofscience.com%2Fwos%2Fwoscc%2Ffull-record%2FWOS:000232368400005","View Full Record in Web of Science")</f>
        <v>View Full Record in Web of Science</v>
      </c>
    </row>
    <row r="272" spans="1:72" x14ac:dyDescent="0.15">
      <c r="A272" t="s">
        <v>497</v>
      </c>
      <c r="B272" t="s">
        <v>4445</v>
      </c>
      <c r="C272" t="s">
        <v>74</v>
      </c>
      <c r="D272" t="s">
        <v>4378</v>
      </c>
      <c r="E272" t="s">
        <v>74</v>
      </c>
      <c r="F272" t="s">
        <v>4445</v>
      </c>
      <c r="G272" t="s">
        <v>74</v>
      </c>
      <c r="H272" t="s">
        <v>74</v>
      </c>
      <c r="I272" t="s">
        <v>4446</v>
      </c>
      <c r="J272" t="s">
        <v>4380</v>
      </c>
      <c r="K272" t="s">
        <v>4381</v>
      </c>
      <c r="L272" t="s">
        <v>74</v>
      </c>
      <c r="M272" t="s">
        <v>77</v>
      </c>
      <c r="N272" t="s">
        <v>311</v>
      </c>
      <c r="O272" t="s">
        <v>4382</v>
      </c>
      <c r="P272" t="s">
        <v>4383</v>
      </c>
      <c r="Q272" t="s">
        <v>4384</v>
      </c>
      <c r="R272" t="s">
        <v>74</v>
      </c>
      <c r="S272" t="s">
        <v>4385</v>
      </c>
      <c r="T272" t="s">
        <v>74</v>
      </c>
      <c r="U272" t="s">
        <v>4447</v>
      </c>
      <c r="V272" t="s">
        <v>4448</v>
      </c>
      <c r="W272" t="s">
        <v>4449</v>
      </c>
      <c r="X272" t="s">
        <v>1614</v>
      </c>
      <c r="Y272" t="s">
        <v>4450</v>
      </c>
      <c r="Z272" t="s">
        <v>4451</v>
      </c>
      <c r="AA272" t="s">
        <v>4452</v>
      </c>
      <c r="AB272" t="s">
        <v>4453</v>
      </c>
      <c r="AC272" t="s">
        <v>74</v>
      </c>
      <c r="AD272" t="s">
        <v>74</v>
      </c>
      <c r="AE272" t="s">
        <v>74</v>
      </c>
      <c r="AF272" t="s">
        <v>74</v>
      </c>
      <c r="AG272">
        <v>26</v>
      </c>
      <c r="AH272">
        <v>19</v>
      </c>
      <c r="AI272">
        <v>20</v>
      </c>
      <c r="AJ272">
        <v>0</v>
      </c>
      <c r="AK272">
        <v>5</v>
      </c>
      <c r="AL272" t="s">
        <v>4393</v>
      </c>
      <c r="AM272" t="s">
        <v>824</v>
      </c>
      <c r="AN272" t="s">
        <v>4394</v>
      </c>
      <c r="AO272" t="s">
        <v>4395</v>
      </c>
      <c r="AP272" t="s">
        <v>74</v>
      </c>
      <c r="AQ272" t="s">
        <v>4396</v>
      </c>
      <c r="AR272" t="s">
        <v>4397</v>
      </c>
      <c r="AS272" t="s">
        <v>74</v>
      </c>
      <c r="AT272" t="s">
        <v>74</v>
      </c>
      <c r="AU272">
        <v>2004</v>
      </c>
      <c r="AV272">
        <v>39</v>
      </c>
      <c r="AW272" t="s">
        <v>74</v>
      </c>
      <c r="AX272" t="s">
        <v>74</v>
      </c>
      <c r="AY272" t="s">
        <v>74</v>
      </c>
      <c r="AZ272" t="s">
        <v>74</v>
      </c>
      <c r="BA272" t="s">
        <v>74</v>
      </c>
      <c r="BB272">
        <v>34</v>
      </c>
      <c r="BC272">
        <v>40</v>
      </c>
      <c r="BD272" t="s">
        <v>74</v>
      </c>
      <c r="BE272" t="s">
        <v>4454</v>
      </c>
      <c r="BF272" t="str">
        <f>HYPERLINK("http://dx.doi.org/10.3189/172756404781814609","http://dx.doi.org/10.3189/172756404781814609")</f>
        <v>http://dx.doi.org/10.3189/172756404781814609</v>
      </c>
      <c r="BG272" t="s">
        <v>74</v>
      </c>
      <c r="BH272" t="s">
        <v>74</v>
      </c>
      <c r="BI272">
        <v>7</v>
      </c>
      <c r="BJ272" t="s">
        <v>560</v>
      </c>
      <c r="BK272" t="s">
        <v>1116</v>
      </c>
      <c r="BL272" t="s">
        <v>561</v>
      </c>
      <c r="BM272" t="s">
        <v>4399</v>
      </c>
      <c r="BN272" t="s">
        <v>74</v>
      </c>
      <c r="BO272" t="s">
        <v>541</v>
      </c>
      <c r="BP272" t="s">
        <v>74</v>
      </c>
      <c r="BQ272" t="s">
        <v>74</v>
      </c>
      <c r="BR272" t="s">
        <v>99</v>
      </c>
      <c r="BS272" t="s">
        <v>4455</v>
      </c>
      <c r="BT272" t="str">
        <f>HYPERLINK("https%3A%2F%2Fwww.webofscience.com%2Fwos%2Fwoscc%2Ffull-record%2FWOS:000232368400006","View Full Record in Web of Science")</f>
        <v>View Full Record in Web of Science</v>
      </c>
    </row>
    <row r="273" spans="1:72" x14ac:dyDescent="0.15">
      <c r="A273" t="s">
        <v>497</v>
      </c>
      <c r="B273" t="s">
        <v>4456</v>
      </c>
      <c r="C273" t="s">
        <v>74</v>
      </c>
      <c r="D273" t="s">
        <v>4378</v>
      </c>
      <c r="E273" t="s">
        <v>74</v>
      </c>
      <c r="F273" t="s">
        <v>4456</v>
      </c>
      <c r="G273" t="s">
        <v>74</v>
      </c>
      <c r="H273" t="s">
        <v>74</v>
      </c>
      <c r="I273" t="s">
        <v>4457</v>
      </c>
      <c r="J273" t="s">
        <v>4380</v>
      </c>
      <c r="K273" t="s">
        <v>4381</v>
      </c>
      <c r="L273" t="s">
        <v>74</v>
      </c>
      <c r="M273" t="s">
        <v>77</v>
      </c>
      <c r="N273" t="s">
        <v>311</v>
      </c>
      <c r="O273" t="s">
        <v>4382</v>
      </c>
      <c r="P273" t="s">
        <v>4383</v>
      </c>
      <c r="Q273" t="s">
        <v>4384</v>
      </c>
      <c r="R273" t="s">
        <v>74</v>
      </c>
      <c r="S273" t="s">
        <v>4385</v>
      </c>
      <c r="T273" t="s">
        <v>74</v>
      </c>
      <c r="U273" t="s">
        <v>4458</v>
      </c>
      <c r="V273" t="s">
        <v>4459</v>
      </c>
      <c r="W273" t="s">
        <v>4460</v>
      </c>
      <c r="X273" t="s">
        <v>4461</v>
      </c>
      <c r="Y273" t="s">
        <v>4462</v>
      </c>
      <c r="Z273" t="s">
        <v>4463</v>
      </c>
      <c r="AA273" t="s">
        <v>4464</v>
      </c>
      <c r="AB273" t="s">
        <v>4465</v>
      </c>
      <c r="AC273" t="s">
        <v>74</v>
      </c>
      <c r="AD273" t="s">
        <v>74</v>
      </c>
      <c r="AE273" t="s">
        <v>74</v>
      </c>
      <c r="AF273" t="s">
        <v>74</v>
      </c>
      <c r="AG273">
        <v>31</v>
      </c>
      <c r="AH273">
        <v>33</v>
      </c>
      <c r="AI273">
        <v>36</v>
      </c>
      <c r="AJ273">
        <v>0</v>
      </c>
      <c r="AK273">
        <v>7</v>
      </c>
      <c r="AL273" t="s">
        <v>4393</v>
      </c>
      <c r="AM273" t="s">
        <v>824</v>
      </c>
      <c r="AN273" t="s">
        <v>4394</v>
      </c>
      <c r="AO273" t="s">
        <v>4395</v>
      </c>
      <c r="AP273" t="s">
        <v>74</v>
      </c>
      <c r="AQ273" t="s">
        <v>4396</v>
      </c>
      <c r="AR273" t="s">
        <v>4397</v>
      </c>
      <c r="AS273" t="s">
        <v>74</v>
      </c>
      <c r="AT273" t="s">
        <v>74</v>
      </c>
      <c r="AU273">
        <v>2004</v>
      </c>
      <c r="AV273">
        <v>39</v>
      </c>
      <c r="AW273" t="s">
        <v>74</v>
      </c>
      <c r="AX273" t="s">
        <v>74</v>
      </c>
      <c r="AY273" t="s">
        <v>74</v>
      </c>
      <c r="AZ273" t="s">
        <v>74</v>
      </c>
      <c r="BA273" t="s">
        <v>74</v>
      </c>
      <c r="BB273">
        <v>41</v>
      </c>
      <c r="BC273">
        <v>48</v>
      </c>
      <c r="BD273" t="s">
        <v>74</v>
      </c>
      <c r="BE273" t="s">
        <v>4466</v>
      </c>
      <c r="BF273" t="str">
        <f>HYPERLINK("http://dx.doi.org/10.3189/172756404781814276","http://dx.doi.org/10.3189/172756404781814276")</f>
        <v>http://dx.doi.org/10.3189/172756404781814276</v>
      </c>
      <c r="BG273" t="s">
        <v>74</v>
      </c>
      <c r="BH273" t="s">
        <v>74</v>
      </c>
      <c r="BI273">
        <v>8</v>
      </c>
      <c r="BJ273" t="s">
        <v>560</v>
      </c>
      <c r="BK273" t="s">
        <v>1116</v>
      </c>
      <c r="BL273" t="s">
        <v>561</v>
      </c>
      <c r="BM273" t="s">
        <v>4399</v>
      </c>
      <c r="BN273" t="s">
        <v>74</v>
      </c>
      <c r="BO273" t="s">
        <v>541</v>
      </c>
      <c r="BP273" t="s">
        <v>74</v>
      </c>
      <c r="BQ273" t="s">
        <v>74</v>
      </c>
      <c r="BR273" t="s">
        <v>99</v>
      </c>
      <c r="BS273" t="s">
        <v>4467</v>
      </c>
      <c r="BT273" t="str">
        <f>HYPERLINK("https%3A%2F%2Fwww.webofscience.com%2Fwos%2Fwoscc%2Ffull-record%2FWOS:000232368400007","View Full Record in Web of Science")</f>
        <v>View Full Record in Web of Science</v>
      </c>
    </row>
    <row r="274" spans="1:72" x14ac:dyDescent="0.15">
      <c r="A274" t="s">
        <v>497</v>
      </c>
      <c r="B274" t="s">
        <v>4468</v>
      </c>
      <c r="C274" t="s">
        <v>74</v>
      </c>
      <c r="D274" t="s">
        <v>4378</v>
      </c>
      <c r="E274" t="s">
        <v>74</v>
      </c>
      <c r="F274" t="s">
        <v>4468</v>
      </c>
      <c r="G274" t="s">
        <v>74</v>
      </c>
      <c r="H274" t="s">
        <v>74</v>
      </c>
      <c r="I274" t="s">
        <v>4469</v>
      </c>
      <c r="J274" t="s">
        <v>4380</v>
      </c>
      <c r="K274" t="s">
        <v>4381</v>
      </c>
      <c r="L274" t="s">
        <v>74</v>
      </c>
      <c r="M274" t="s">
        <v>77</v>
      </c>
      <c r="N274" t="s">
        <v>311</v>
      </c>
      <c r="O274" t="s">
        <v>4382</v>
      </c>
      <c r="P274" t="s">
        <v>4383</v>
      </c>
      <c r="Q274" t="s">
        <v>4384</v>
      </c>
      <c r="R274" t="s">
        <v>74</v>
      </c>
      <c r="S274" t="s">
        <v>4385</v>
      </c>
      <c r="T274" t="s">
        <v>74</v>
      </c>
      <c r="U274" t="s">
        <v>74</v>
      </c>
      <c r="V274" t="s">
        <v>4470</v>
      </c>
      <c r="W274" t="s">
        <v>4471</v>
      </c>
      <c r="X274" t="s">
        <v>4472</v>
      </c>
      <c r="Y274" t="s">
        <v>4473</v>
      </c>
      <c r="Z274" t="s">
        <v>4474</v>
      </c>
      <c r="AA274" t="s">
        <v>4475</v>
      </c>
      <c r="AB274" t="s">
        <v>4476</v>
      </c>
      <c r="AC274" t="s">
        <v>74</v>
      </c>
      <c r="AD274" t="s">
        <v>74</v>
      </c>
      <c r="AE274" t="s">
        <v>74</v>
      </c>
      <c r="AF274" t="s">
        <v>74</v>
      </c>
      <c r="AG274">
        <v>7</v>
      </c>
      <c r="AH274">
        <v>25</v>
      </c>
      <c r="AI274">
        <v>25</v>
      </c>
      <c r="AJ274">
        <v>0</v>
      </c>
      <c r="AK274">
        <v>2</v>
      </c>
      <c r="AL274" t="s">
        <v>4393</v>
      </c>
      <c r="AM274" t="s">
        <v>824</v>
      </c>
      <c r="AN274" t="s">
        <v>4394</v>
      </c>
      <c r="AO274" t="s">
        <v>4395</v>
      </c>
      <c r="AP274" t="s">
        <v>74</v>
      </c>
      <c r="AQ274" t="s">
        <v>4396</v>
      </c>
      <c r="AR274" t="s">
        <v>4397</v>
      </c>
      <c r="AS274" t="s">
        <v>74</v>
      </c>
      <c r="AT274" t="s">
        <v>74</v>
      </c>
      <c r="AU274">
        <v>2004</v>
      </c>
      <c r="AV274">
        <v>39</v>
      </c>
      <c r="AW274" t="s">
        <v>74</v>
      </c>
      <c r="AX274" t="s">
        <v>74</v>
      </c>
      <c r="AY274" t="s">
        <v>74</v>
      </c>
      <c r="AZ274" t="s">
        <v>74</v>
      </c>
      <c r="BA274" t="s">
        <v>74</v>
      </c>
      <c r="BB274">
        <v>49</v>
      </c>
      <c r="BC274">
        <v>52</v>
      </c>
      <c r="BD274" t="s">
        <v>74</v>
      </c>
      <c r="BE274" t="s">
        <v>4477</v>
      </c>
      <c r="BF274" t="str">
        <f>HYPERLINK("http://dx.doi.org/10.3189/172756404781814410","http://dx.doi.org/10.3189/172756404781814410")</f>
        <v>http://dx.doi.org/10.3189/172756404781814410</v>
      </c>
      <c r="BG274" t="s">
        <v>74</v>
      </c>
      <c r="BH274" t="s">
        <v>74</v>
      </c>
      <c r="BI274">
        <v>4</v>
      </c>
      <c r="BJ274" t="s">
        <v>560</v>
      </c>
      <c r="BK274" t="s">
        <v>1116</v>
      </c>
      <c r="BL274" t="s">
        <v>561</v>
      </c>
      <c r="BM274" t="s">
        <v>4399</v>
      </c>
      <c r="BN274" t="s">
        <v>74</v>
      </c>
      <c r="BO274" t="s">
        <v>516</v>
      </c>
      <c r="BP274" t="s">
        <v>74</v>
      </c>
      <c r="BQ274" t="s">
        <v>74</v>
      </c>
      <c r="BR274" t="s">
        <v>99</v>
      </c>
      <c r="BS274" t="s">
        <v>4478</v>
      </c>
      <c r="BT274" t="str">
        <f>HYPERLINK("https%3A%2F%2Fwww.webofscience.com%2Fwos%2Fwoscc%2Ffull-record%2FWOS:000232368400008","View Full Record in Web of Science")</f>
        <v>View Full Record in Web of Science</v>
      </c>
    </row>
    <row r="275" spans="1:72" x14ac:dyDescent="0.15">
      <c r="A275" t="s">
        <v>497</v>
      </c>
      <c r="B275" t="s">
        <v>4479</v>
      </c>
      <c r="C275" t="s">
        <v>74</v>
      </c>
      <c r="D275" t="s">
        <v>4378</v>
      </c>
      <c r="E275" t="s">
        <v>74</v>
      </c>
      <c r="F275" t="s">
        <v>4479</v>
      </c>
      <c r="G275" t="s">
        <v>74</v>
      </c>
      <c r="H275" t="s">
        <v>74</v>
      </c>
      <c r="I275" t="s">
        <v>4480</v>
      </c>
      <c r="J275" t="s">
        <v>4380</v>
      </c>
      <c r="K275" t="s">
        <v>4381</v>
      </c>
      <c r="L275" t="s">
        <v>74</v>
      </c>
      <c r="M275" t="s">
        <v>77</v>
      </c>
      <c r="N275" t="s">
        <v>311</v>
      </c>
      <c r="O275" t="s">
        <v>4382</v>
      </c>
      <c r="P275" t="s">
        <v>4383</v>
      </c>
      <c r="Q275" t="s">
        <v>4384</v>
      </c>
      <c r="R275" t="s">
        <v>74</v>
      </c>
      <c r="S275" t="s">
        <v>4385</v>
      </c>
      <c r="T275" t="s">
        <v>74</v>
      </c>
      <c r="U275" t="s">
        <v>4481</v>
      </c>
      <c r="V275" t="s">
        <v>4482</v>
      </c>
      <c r="W275" t="s">
        <v>4483</v>
      </c>
      <c r="X275" t="s">
        <v>4484</v>
      </c>
      <c r="Y275" t="s">
        <v>4485</v>
      </c>
      <c r="Z275" t="s">
        <v>4486</v>
      </c>
      <c r="AA275" t="s">
        <v>4487</v>
      </c>
      <c r="AB275" t="s">
        <v>4488</v>
      </c>
      <c r="AC275" t="s">
        <v>74</v>
      </c>
      <c r="AD275" t="s">
        <v>74</v>
      </c>
      <c r="AE275" t="s">
        <v>74</v>
      </c>
      <c r="AF275" t="s">
        <v>74</v>
      </c>
      <c r="AG275">
        <v>32</v>
      </c>
      <c r="AH275">
        <v>53</v>
      </c>
      <c r="AI275">
        <v>55</v>
      </c>
      <c r="AJ275">
        <v>0</v>
      </c>
      <c r="AK275">
        <v>9</v>
      </c>
      <c r="AL275" t="s">
        <v>4393</v>
      </c>
      <c r="AM275" t="s">
        <v>824</v>
      </c>
      <c r="AN275" t="s">
        <v>4394</v>
      </c>
      <c r="AO275" t="s">
        <v>4395</v>
      </c>
      <c r="AP275" t="s">
        <v>74</v>
      </c>
      <c r="AQ275" t="s">
        <v>4396</v>
      </c>
      <c r="AR275" t="s">
        <v>4397</v>
      </c>
      <c r="AS275" t="s">
        <v>74</v>
      </c>
      <c r="AT275" t="s">
        <v>74</v>
      </c>
      <c r="AU275">
        <v>2004</v>
      </c>
      <c r="AV275">
        <v>39</v>
      </c>
      <c r="AW275" t="s">
        <v>74</v>
      </c>
      <c r="AX275" t="s">
        <v>74</v>
      </c>
      <c r="AY275" t="s">
        <v>74</v>
      </c>
      <c r="AZ275" t="s">
        <v>74</v>
      </c>
      <c r="BA275" t="s">
        <v>74</v>
      </c>
      <c r="BB275">
        <v>53</v>
      </c>
      <c r="BC275">
        <v>61</v>
      </c>
      <c r="BD275" t="s">
        <v>74</v>
      </c>
      <c r="BE275" t="s">
        <v>4489</v>
      </c>
      <c r="BF275" t="str">
        <f>HYPERLINK("http://dx.doi.org/10.3189/172756404781814474","http://dx.doi.org/10.3189/172756404781814474")</f>
        <v>http://dx.doi.org/10.3189/172756404781814474</v>
      </c>
      <c r="BG275" t="s">
        <v>74</v>
      </c>
      <c r="BH275" t="s">
        <v>74</v>
      </c>
      <c r="BI275">
        <v>9</v>
      </c>
      <c r="BJ275" t="s">
        <v>560</v>
      </c>
      <c r="BK275" t="s">
        <v>1116</v>
      </c>
      <c r="BL275" t="s">
        <v>561</v>
      </c>
      <c r="BM275" t="s">
        <v>4399</v>
      </c>
      <c r="BN275" t="s">
        <v>74</v>
      </c>
      <c r="BO275" t="s">
        <v>286</v>
      </c>
      <c r="BP275" t="s">
        <v>74</v>
      </c>
      <c r="BQ275" t="s">
        <v>74</v>
      </c>
      <c r="BR275" t="s">
        <v>99</v>
      </c>
      <c r="BS275" t="s">
        <v>4490</v>
      </c>
      <c r="BT275" t="str">
        <f>HYPERLINK("https%3A%2F%2Fwww.webofscience.com%2Fwos%2Fwoscc%2Ffull-record%2FWOS:000232368400009","View Full Record in Web of Science")</f>
        <v>View Full Record in Web of Science</v>
      </c>
    </row>
    <row r="276" spans="1:72" x14ac:dyDescent="0.15">
      <c r="A276" t="s">
        <v>497</v>
      </c>
      <c r="B276" t="s">
        <v>4491</v>
      </c>
      <c r="C276" t="s">
        <v>74</v>
      </c>
      <c r="D276" t="s">
        <v>4378</v>
      </c>
      <c r="E276" t="s">
        <v>74</v>
      </c>
      <c r="F276" t="s">
        <v>4491</v>
      </c>
      <c r="G276" t="s">
        <v>74</v>
      </c>
      <c r="H276" t="s">
        <v>74</v>
      </c>
      <c r="I276" t="s">
        <v>4492</v>
      </c>
      <c r="J276" t="s">
        <v>4380</v>
      </c>
      <c r="K276" t="s">
        <v>4381</v>
      </c>
      <c r="L276" t="s">
        <v>74</v>
      </c>
      <c r="M276" t="s">
        <v>77</v>
      </c>
      <c r="N276" t="s">
        <v>311</v>
      </c>
      <c r="O276" t="s">
        <v>4382</v>
      </c>
      <c r="P276" t="s">
        <v>4383</v>
      </c>
      <c r="Q276" t="s">
        <v>4384</v>
      </c>
      <c r="R276" t="s">
        <v>74</v>
      </c>
      <c r="S276" t="s">
        <v>4385</v>
      </c>
      <c r="T276" t="s">
        <v>74</v>
      </c>
      <c r="U276" t="s">
        <v>4493</v>
      </c>
      <c r="V276" t="s">
        <v>4494</v>
      </c>
      <c r="W276" t="s">
        <v>4495</v>
      </c>
      <c r="X276" t="s">
        <v>4496</v>
      </c>
      <c r="Y276" t="s">
        <v>4497</v>
      </c>
      <c r="Z276" t="s">
        <v>4498</v>
      </c>
      <c r="AA276" t="s">
        <v>74</v>
      </c>
      <c r="AB276" t="s">
        <v>4499</v>
      </c>
      <c r="AC276" t="s">
        <v>74</v>
      </c>
      <c r="AD276" t="s">
        <v>74</v>
      </c>
      <c r="AE276" t="s">
        <v>74</v>
      </c>
      <c r="AF276" t="s">
        <v>74</v>
      </c>
      <c r="AG276">
        <v>18</v>
      </c>
      <c r="AH276">
        <v>14</v>
      </c>
      <c r="AI276">
        <v>18</v>
      </c>
      <c r="AJ276">
        <v>0</v>
      </c>
      <c r="AK276">
        <v>6</v>
      </c>
      <c r="AL276" t="s">
        <v>4393</v>
      </c>
      <c r="AM276" t="s">
        <v>824</v>
      </c>
      <c r="AN276" t="s">
        <v>4394</v>
      </c>
      <c r="AO276" t="s">
        <v>4395</v>
      </c>
      <c r="AP276" t="s">
        <v>74</v>
      </c>
      <c r="AQ276" t="s">
        <v>4396</v>
      </c>
      <c r="AR276" t="s">
        <v>4397</v>
      </c>
      <c r="AS276" t="s">
        <v>74</v>
      </c>
      <c r="AT276" t="s">
        <v>74</v>
      </c>
      <c r="AU276">
        <v>2004</v>
      </c>
      <c r="AV276">
        <v>39</v>
      </c>
      <c r="AW276" t="s">
        <v>74</v>
      </c>
      <c r="AX276" t="s">
        <v>74</v>
      </c>
      <c r="AY276" t="s">
        <v>74</v>
      </c>
      <c r="AZ276" t="s">
        <v>74</v>
      </c>
      <c r="BA276" t="s">
        <v>74</v>
      </c>
      <c r="BB276">
        <v>62</v>
      </c>
      <c r="BC276">
        <v>66</v>
      </c>
      <c r="BD276" t="s">
        <v>74</v>
      </c>
      <c r="BE276" t="s">
        <v>4500</v>
      </c>
      <c r="BF276" t="str">
        <f>HYPERLINK("http://dx.doi.org/10.3189/172756404781814320","http://dx.doi.org/10.3189/172756404781814320")</f>
        <v>http://dx.doi.org/10.3189/172756404781814320</v>
      </c>
      <c r="BG276" t="s">
        <v>74</v>
      </c>
      <c r="BH276" t="s">
        <v>74</v>
      </c>
      <c r="BI276">
        <v>5</v>
      </c>
      <c r="BJ276" t="s">
        <v>560</v>
      </c>
      <c r="BK276" t="s">
        <v>1116</v>
      </c>
      <c r="BL276" t="s">
        <v>561</v>
      </c>
      <c r="BM276" t="s">
        <v>4399</v>
      </c>
      <c r="BN276" t="s">
        <v>74</v>
      </c>
      <c r="BO276" t="s">
        <v>74</v>
      </c>
      <c r="BP276" t="s">
        <v>74</v>
      </c>
      <c r="BQ276" t="s">
        <v>74</v>
      </c>
      <c r="BR276" t="s">
        <v>99</v>
      </c>
      <c r="BS276" t="s">
        <v>4501</v>
      </c>
      <c r="BT276" t="str">
        <f>HYPERLINK("https%3A%2F%2Fwww.webofscience.com%2Fwos%2Fwoscc%2Ffull-record%2FWOS:000232368400010","View Full Record in Web of Science")</f>
        <v>View Full Record in Web of Science</v>
      </c>
    </row>
    <row r="277" spans="1:72" x14ac:dyDescent="0.15">
      <c r="A277" t="s">
        <v>497</v>
      </c>
      <c r="B277" t="s">
        <v>4502</v>
      </c>
      <c r="C277" t="s">
        <v>74</v>
      </c>
      <c r="D277" t="s">
        <v>4378</v>
      </c>
      <c r="E277" t="s">
        <v>74</v>
      </c>
      <c r="F277" t="s">
        <v>4502</v>
      </c>
      <c r="G277" t="s">
        <v>74</v>
      </c>
      <c r="H277" t="s">
        <v>74</v>
      </c>
      <c r="I277" t="s">
        <v>4503</v>
      </c>
      <c r="J277" t="s">
        <v>4380</v>
      </c>
      <c r="K277" t="s">
        <v>4381</v>
      </c>
      <c r="L277" t="s">
        <v>74</v>
      </c>
      <c r="M277" t="s">
        <v>77</v>
      </c>
      <c r="N277" t="s">
        <v>311</v>
      </c>
      <c r="O277" t="s">
        <v>4382</v>
      </c>
      <c r="P277" t="s">
        <v>4383</v>
      </c>
      <c r="Q277" t="s">
        <v>4384</v>
      </c>
      <c r="R277" t="s">
        <v>74</v>
      </c>
      <c r="S277" t="s">
        <v>4385</v>
      </c>
      <c r="T277" t="s">
        <v>74</v>
      </c>
      <c r="U277" t="s">
        <v>4504</v>
      </c>
      <c r="V277" t="s">
        <v>4505</v>
      </c>
      <c r="W277" t="s">
        <v>4506</v>
      </c>
      <c r="X277" t="s">
        <v>4507</v>
      </c>
      <c r="Y277" t="s">
        <v>4508</v>
      </c>
      <c r="Z277" t="s">
        <v>4509</v>
      </c>
      <c r="AA277" t="s">
        <v>4510</v>
      </c>
      <c r="AB277" t="s">
        <v>4511</v>
      </c>
      <c r="AC277" t="s">
        <v>74</v>
      </c>
      <c r="AD277" t="s">
        <v>74</v>
      </c>
      <c r="AE277" t="s">
        <v>74</v>
      </c>
      <c r="AF277" t="s">
        <v>74</v>
      </c>
      <c r="AG277">
        <v>15</v>
      </c>
      <c r="AH277">
        <v>13</v>
      </c>
      <c r="AI277">
        <v>15</v>
      </c>
      <c r="AJ277">
        <v>0</v>
      </c>
      <c r="AK277">
        <v>6</v>
      </c>
      <c r="AL277" t="s">
        <v>4393</v>
      </c>
      <c r="AM277" t="s">
        <v>824</v>
      </c>
      <c r="AN277" t="s">
        <v>4394</v>
      </c>
      <c r="AO277" t="s">
        <v>4395</v>
      </c>
      <c r="AP277" t="s">
        <v>74</v>
      </c>
      <c r="AQ277" t="s">
        <v>4396</v>
      </c>
      <c r="AR277" t="s">
        <v>4397</v>
      </c>
      <c r="AS277" t="s">
        <v>74</v>
      </c>
      <c r="AT277" t="s">
        <v>74</v>
      </c>
      <c r="AU277">
        <v>2004</v>
      </c>
      <c r="AV277">
        <v>39</v>
      </c>
      <c r="AW277" t="s">
        <v>74</v>
      </c>
      <c r="AX277" t="s">
        <v>74</v>
      </c>
      <c r="AY277" t="s">
        <v>74</v>
      </c>
      <c r="AZ277" t="s">
        <v>74</v>
      </c>
      <c r="BA277" t="s">
        <v>74</v>
      </c>
      <c r="BB277">
        <v>67</v>
      </c>
      <c r="BC277">
        <v>72</v>
      </c>
      <c r="BD277" t="s">
        <v>74</v>
      </c>
      <c r="BE277" t="s">
        <v>4512</v>
      </c>
      <c r="BF277" t="str">
        <f>HYPERLINK("http://dx.doi.org/10.3189/172756404781814401","http://dx.doi.org/10.3189/172756404781814401")</f>
        <v>http://dx.doi.org/10.3189/172756404781814401</v>
      </c>
      <c r="BG277" t="s">
        <v>74</v>
      </c>
      <c r="BH277" t="s">
        <v>74</v>
      </c>
      <c r="BI277">
        <v>6</v>
      </c>
      <c r="BJ277" t="s">
        <v>560</v>
      </c>
      <c r="BK277" t="s">
        <v>1116</v>
      </c>
      <c r="BL277" t="s">
        <v>561</v>
      </c>
      <c r="BM277" t="s">
        <v>4399</v>
      </c>
      <c r="BN277" t="s">
        <v>74</v>
      </c>
      <c r="BO277" t="s">
        <v>541</v>
      </c>
      <c r="BP277" t="s">
        <v>74</v>
      </c>
      <c r="BQ277" t="s">
        <v>74</v>
      </c>
      <c r="BR277" t="s">
        <v>99</v>
      </c>
      <c r="BS277" t="s">
        <v>4513</v>
      </c>
      <c r="BT277" t="str">
        <f>HYPERLINK("https%3A%2F%2Fwww.webofscience.com%2Fwos%2Fwoscc%2Ffull-record%2FWOS:000232368400011","View Full Record in Web of Science")</f>
        <v>View Full Record in Web of Science</v>
      </c>
    </row>
    <row r="278" spans="1:72" x14ac:dyDescent="0.15">
      <c r="A278" t="s">
        <v>497</v>
      </c>
      <c r="B278" t="s">
        <v>4514</v>
      </c>
      <c r="C278" t="s">
        <v>74</v>
      </c>
      <c r="D278" t="s">
        <v>4378</v>
      </c>
      <c r="E278" t="s">
        <v>74</v>
      </c>
      <c r="F278" t="s">
        <v>4514</v>
      </c>
      <c r="G278" t="s">
        <v>74</v>
      </c>
      <c r="H278" t="s">
        <v>74</v>
      </c>
      <c r="I278" t="s">
        <v>4515</v>
      </c>
      <c r="J278" t="s">
        <v>4380</v>
      </c>
      <c r="K278" t="s">
        <v>4381</v>
      </c>
      <c r="L278" t="s">
        <v>74</v>
      </c>
      <c r="M278" t="s">
        <v>77</v>
      </c>
      <c r="N278" t="s">
        <v>311</v>
      </c>
      <c r="O278" t="s">
        <v>4382</v>
      </c>
      <c r="P278" t="s">
        <v>4383</v>
      </c>
      <c r="Q278" t="s">
        <v>4384</v>
      </c>
      <c r="R278" t="s">
        <v>74</v>
      </c>
      <c r="S278" t="s">
        <v>4385</v>
      </c>
      <c r="T278" t="s">
        <v>74</v>
      </c>
      <c r="U278" t="s">
        <v>4516</v>
      </c>
      <c r="V278" t="s">
        <v>4517</v>
      </c>
      <c r="W278" t="s">
        <v>4518</v>
      </c>
      <c r="X278" t="s">
        <v>4519</v>
      </c>
      <c r="Y278" t="s">
        <v>4520</v>
      </c>
      <c r="Z278" t="s">
        <v>4521</v>
      </c>
      <c r="AA278" t="s">
        <v>4522</v>
      </c>
      <c r="AB278" t="s">
        <v>4523</v>
      </c>
      <c r="AC278" t="s">
        <v>74</v>
      </c>
      <c r="AD278" t="s">
        <v>74</v>
      </c>
      <c r="AE278" t="s">
        <v>74</v>
      </c>
      <c r="AF278" t="s">
        <v>74</v>
      </c>
      <c r="AG278">
        <v>20</v>
      </c>
      <c r="AH278">
        <v>44</v>
      </c>
      <c r="AI278">
        <v>56</v>
      </c>
      <c r="AJ278">
        <v>0</v>
      </c>
      <c r="AK278">
        <v>12</v>
      </c>
      <c r="AL278" t="s">
        <v>4393</v>
      </c>
      <c r="AM278" t="s">
        <v>824</v>
      </c>
      <c r="AN278" t="s">
        <v>4394</v>
      </c>
      <c r="AO278" t="s">
        <v>4395</v>
      </c>
      <c r="AP278" t="s">
        <v>74</v>
      </c>
      <c r="AQ278" t="s">
        <v>4396</v>
      </c>
      <c r="AR278" t="s">
        <v>4397</v>
      </c>
      <c r="AS278" t="s">
        <v>74</v>
      </c>
      <c r="AT278" t="s">
        <v>74</v>
      </c>
      <c r="AU278">
        <v>2004</v>
      </c>
      <c r="AV278">
        <v>39</v>
      </c>
      <c r="AW278" t="s">
        <v>74</v>
      </c>
      <c r="AX278" t="s">
        <v>74</v>
      </c>
      <c r="AY278" t="s">
        <v>74</v>
      </c>
      <c r="AZ278" t="s">
        <v>74</v>
      </c>
      <c r="BA278" t="s">
        <v>74</v>
      </c>
      <c r="BB278">
        <v>73</v>
      </c>
      <c r="BC278">
        <v>78</v>
      </c>
      <c r="BD278" t="s">
        <v>74</v>
      </c>
      <c r="BE278" t="s">
        <v>4524</v>
      </c>
      <c r="BF278" t="str">
        <f>HYPERLINK("http://dx.doi.org/10.3189/172756404781814041","http://dx.doi.org/10.3189/172756404781814041")</f>
        <v>http://dx.doi.org/10.3189/172756404781814041</v>
      </c>
      <c r="BG278" t="s">
        <v>74</v>
      </c>
      <c r="BH278" t="s">
        <v>74</v>
      </c>
      <c r="BI278">
        <v>6</v>
      </c>
      <c r="BJ278" t="s">
        <v>560</v>
      </c>
      <c r="BK278" t="s">
        <v>1116</v>
      </c>
      <c r="BL278" t="s">
        <v>561</v>
      </c>
      <c r="BM278" t="s">
        <v>4399</v>
      </c>
      <c r="BN278" t="s">
        <v>74</v>
      </c>
      <c r="BO278" t="s">
        <v>541</v>
      </c>
      <c r="BP278" t="s">
        <v>74</v>
      </c>
      <c r="BQ278" t="s">
        <v>74</v>
      </c>
      <c r="BR278" t="s">
        <v>99</v>
      </c>
      <c r="BS278" t="s">
        <v>4525</v>
      </c>
      <c r="BT278" t="str">
        <f>HYPERLINK("https%3A%2F%2Fwww.webofscience.com%2Fwos%2Fwoscc%2Ffull-record%2FWOS:000232368400012","View Full Record in Web of Science")</f>
        <v>View Full Record in Web of Science</v>
      </c>
    </row>
    <row r="279" spans="1:72" x14ac:dyDescent="0.15">
      <c r="A279" t="s">
        <v>497</v>
      </c>
      <c r="B279" t="s">
        <v>4526</v>
      </c>
      <c r="C279" t="s">
        <v>74</v>
      </c>
      <c r="D279" t="s">
        <v>4378</v>
      </c>
      <c r="E279" t="s">
        <v>74</v>
      </c>
      <c r="F279" t="s">
        <v>4526</v>
      </c>
      <c r="G279" t="s">
        <v>74</v>
      </c>
      <c r="H279" t="s">
        <v>74</v>
      </c>
      <c r="I279" t="s">
        <v>4527</v>
      </c>
      <c r="J279" t="s">
        <v>4380</v>
      </c>
      <c r="K279" t="s">
        <v>4381</v>
      </c>
      <c r="L279" t="s">
        <v>74</v>
      </c>
      <c r="M279" t="s">
        <v>77</v>
      </c>
      <c r="N279" t="s">
        <v>311</v>
      </c>
      <c r="O279" t="s">
        <v>4382</v>
      </c>
      <c r="P279" t="s">
        <v>4383</v>
      </c>
      <c r="Q279" t="s">
        <v>4384</v>
      </c>
      <c r="R279" t="s">
        <v>74</v>
      </c>
      <c r="S279" t="s">
        <v>4385</v>
      </c>
      <c r="T279" t="s">
        <v>74</v>
      </c>
      <c r="U279" t="s">
        <v>4528</v>
      </c>
      <c r="V279" t="s">
        <v>4529</v>
      </c>
      <c r="W279" t="s">
        <v>4530</v>
      </c>
      <c r="X279" t="s">
        <v>4531</v>
      </c>
      <c r="Y279" t="s">
        <v>4532</v>
      </c>
      <c r="Z279" t="s">
        <v>4533</v>
      </c>
      <c r="AA279" t="s">
        <v>4534</v>
      </c>
      <c r="AB279" t="s">
        <v>4535</v>
      </c>
      <c r="AC279" t="s">
        <v>74</v>
      </c>
      <c r="AD279" t="s">
        <v>74</v>
      </c>
      <c r="AE279" t="s">
        <v>74</v>
      </c>
      <c r="AF279" t="s">
        <v>74</v>
      </c>
      <c r="AG279">
        <v>22</v>
      </c>
      <c r="AH279">
        <v>40</v>
      </c>
      <c r="AI279">
        <v>49</v>
      </c>
      <c r="AJ279">
        <v>0</v>
      </c>
      <c r="AK279">
        <v>6</v>
      </c>
      <c r="AL279" t="s">
        <v>4393</v>
      </c>
      <c r="AM279" t="s">
        <v>824</v>
      </c>
      <c r="AN279" t="s">
        <v>4394</v>
      </c>
      <c r="AO279" t="s">
        <v>4395</v>
      </c>
      <c r="AP279" t="s">
        <v>74</v>
      </c>
      <c r="AQ279" t="s">
        <v>4396</v>
      </c>
      <c r="AR279" t="s">
        <v>4397</v>
      </c>
      <c r="AS279" t="s">
        <v>74</v>
      </c>
      <c r="AT279" t="s">
        <v>74</v>
      </c>
      <c r="AU279">
        <v>2004</v>
      </c>
      <c r="AV279">
        <v>39</v>
      </c>
      <c r="AW279" t="s">
        <v>74</v>
      </c>
      <c r="AX279" t="s">
        <v>74</v>
      </c>
      <c r="AY279" t="s">
        <v>74</v>
      </c>
      <c r="AZ279" t="s">
        <v>74</v>
      </c>
      <c r="BA279" t="s">
        <v>74</v>
      </c>
      <c r="BB279">
        <v>79</v>
      </c>
      <c r="BC279">
        <v>84</v>
      </c>
      <c r="BD279" t="s">
        <v>74</v>
      </c>
      <c r="BE279" t="s">
        <v>4536</v>
      </c>
      <c r="BF279" t="str">
        <f>HYPERLINK("http://dx.doi.org/10.3189/172756404781813970","http://dx.doi.org/10.3189/172756404781813970")</f>
        <v>http://dx.doi.org/10.3189/172756404781813970</v>
      </c>
      <c r="BG279" t="s">
        <v>74</v>
      </c>
      <c r="BH279" t="s">
        <v>74</v>
      </c>
      <c r="BI279">
        <v>6</v>
      </c>
      <c r="BJ279" t="s">
        <v>560</v>
      </c>
      <c r="BK279" t="s">
        <v>1116</v>
      </c>
      <c r="BL279" t="s">
        <v>561</v>
      </c>
      <c r="BM279" t="s">
        <v>4399</v>
      </c>
      <c r="BN279" t="s">
        <v>74</v>
      </c>
      <c r="BO279" t="s">
        <v>541</v>
      </c>
      <c r="BP279" t="s">
        <v>74</v>
      </c>
      <c r="BQ279" t="s">
        <v>74</v>
      </c>
      <c r="BR279" t="s">
        <v>99</v>
      </c>
      <c r="BS279" t="s">
        <v>4537</v>
      </c>
      <c r="BT279" t="str">
        <f>HYPERLINK("https%3A%2F%2Fwww.webofscience.com%2Fwos%2Fwoscc%2Ffull-record%2FWOS:000232368400013","View Full Record in Web of Science")</f>
        <v>View Full Record in Web of Science</v>
      </c>
    </row>
    <row r="280" spans="1:72" x14ac:dyDescent="0.15">
      <c r="A280" t="s">
        <v>497</v>
      </c>
      <c r="B280" t="s">
        <v>4538</v>
      </c>
      <c r="C280" t="s">
        <v>74</v>
      </c>
      <c r="D280" t="s">
        <v>4378</v>
      </c>
      <c r="E280" t="s">
        <v>74</v>
      </c>
      <c r="F280" t="s">
        <v>4538</v>
      </c>
      <c r="G280" t="s">
        <v>74</v>
      </c>
      <c r="H280" t="s">
        <v>74</v>
      </c>
      <c r="I280" t="s">
        <v>4539</v>
      </c>
      <c r="J280" t="s">
        <v>4380</v>
      </c>
      <c r="K280" t="s">
        <v>4381</v>
      </c>
      <c r="L280" t="s">
        <v>74</v>
      </c>
      <c r="M280" t="s">
        <v>77</v>
      </c>
      <c r="N280" t="s">
        <v>311</v>
      </c>
      <c r="O280" t="s">
        <v>4382</v>
      </c>
      <c r="P280" t="s">
        <v>4383</v>
      </c>
      <c r="Q280" t="s">
        <v>4384</v>
      </c>
      <c r="R280" t="s">
        <v>74</v>
      </c>
      <c r="S280" t="s">
        <v>4385</v>
      </c>
      <c r="T280" t="s">
        <v>74</v>
      </c>
      <c r="U280" t="s">
        <v>4540</v>
      </c>
      <c r="V280" t="s">
        <v>4541</v>
      </c>
      <c r="W280" t="s">
        <v>4542</v>
      </c>
      <c r="X280" t="s">
        <v>4543</v>
      </c>
      <c r="Y280" t="s">
        <v>4544</v>
      </c>
      <c r="Z280" t="s">
        <v>4545</v>
      </c>
      <c r="AA280" t="s">
        <v>74</v>
      </c>
      <c r="AB280" t="s">
        <v>74</v>
      </c>
      <c r="AC280" t="s">
        <v>74</v>
      </c>
      <c r="AD280" t="s">
        <v>74</v>
      </c>
      <c r="AE280" t="s">
        <v>74</v>
      </c>
      <c r="AF280" t="s">
        <v>74</v>
      </c>
      <c r="AG280">
        <v>36</v>
      </c>
      <c r="AH280">
        <v>50</v>
      </c>
      <c r="AI280">
        <v>65</v>
      </c>
      <c r="AJ280">
        <v>0</v>
      </c>
      <c r="AK280">
        <v>15</v>
      </c>
      <c r="AL280" t="s">
        <v>4393</v>
      </c>
      <c r="AM280" t="s">
        <v>824</v>
      </c>
      <c r="AN280" t="s">
        <v>4394</v>
      </c>
      <c r="AO280" t="s">
        <v>4395</v>
      </c>
      <c r="AP280" t="s">
        <v>74</v>
      </c>
      <c r="AQ280" t="s">
        <v>4396</v>
      </c>
      <c r="AR280" t="s">
        <v>4397</v>
      </c>
      <c r="AS280" t="s">
        <v>74</v>
      </c>
      <c r="AT280" t="s">
        <v>74</v>
      </c>
      <c r="AU280">
        <v>2004</v>
      </c>
      <c r="AV280">
        <v>39</v>
      </c>
      <c r="AW280" t="s">
        <v>74</v>
      </c>
      <c r="AX280" t="s">
        <v>74</v>
      </c>
      <c r="AY280" t="s">
        <v>74</v>
      </c>
      <c r="AZ280" t="s">
        <v>74</v>
      </c>
      <c r="BA280" t="s">
        <v>74</v>
      </c>
      <c r="BB280">
        <v>85</v>
      </c>
      <c r="BC280">
        <v>92</v>
      </c>
      <c r="BD280" t="s">
        <v>74</v>
      </c>
      <c r="BE280" t="s">
        <v>4546</v>
      </c>
      <c r="BF280" t="str">
        <f>HYPERLINK("http://dx.doi.org/10.3189/172756404781814203","http://dx.doi.org/10.3189/172756404781814203")</f>
        <v>http://dx.doi.org/10.3189/172756404781814203</v>
      </c>
      <c r="BG280" t="s">
        <v>74</v>
      </c>
      <c r="BH280" t="s">
        <v>74</v>
      </c>
      <c r="BI280">
        <v>8</v>
      </c>
      <c r="BJ280" t="s">
        <v>560</v>
      </c>
      <c r="BK280" t="s">
        <v>1116</v>
      </c>
      <c r="BL280" t="s">
        <v>561</v>
      </c>
      <c r="BM280" t="s">
        <v>4399</v>
      </c>
      <c r="BN280" t="s">
        <v>74</v>
      </c>
      <c r="BO280" t="s">
        <v>541</v>
      </c>
      <c r="BP280" t="s">
        <v>74</v>
      </c>
      <c r="BQ280" t="s">
        <v>74</v>
      </c>
      <c r="BR280" t="s">
        <v>99</v>
      </c>
      <c r="BS280" t="s">
        <v>4547</v>
      </c>
      <c r="BT280" t="str">
        <f>HYPERLINK("https%3A%2F%2Fwww.webofscience.com%2Fwos%2Fwoscc%2Ffull-record%2FWOS:000232368400014","View Full Record in Web of Science")</f>
        <v>View Full Record in Web of Science</v>
      </c>
    </row>
    <row r="281" spans="1:72" x14ac:dyDescent="0.15">
      <c r="A281" t="s">
        <v>497</v>
      </c>
      <c r="B281" t="s">
        <v>4548</v>
      </c>
      <c r="C281" t="s">
        <v>74</v>
      </c>
      <c r="D281" t="s">
        <v>4378</v>
      </c>
      <c r="E281" t="s">
        <v>74</v>
      </c>
      <c r="F281" t="s">
        <v>4548</v>
      </c>
      <c r="G281" t="s">
        <v>74</v>
      </c>
      <c r="H281" t="s">
        <v>74</v>
      </c>
      <c r="I281" t="s">
        <v>4549</v>
      </c>
      <c r="J281" t="s">
        <v>4380</v>
      </c>
      <c r="K281" t="s">
        <v>4381</v>
      </c>
      <c r="L281" t="s">
        <v>74</v>
      </c>
      <c r="M281" t="s">
        <v>77</v>
      </c>
      <c r="N281" t="s">
        <v>311</v>
      </c>
      <c r="O281" t="s">
        <v>4382</v>
      </c>
      <c r="P281" t="s">
        <v>4383</v>
      </c>
      <c r="Q281" t="s">
        <v>4384</v>
      </c>
      <c r="R281" t="s">
        <v>74</v>
      </c>
      <c r="S281" t="s">
        <v>4385</v>
      </c>
      <c r="T281" t="s">
        <v>74</v>
      </c>
      <c r="U281" t="s">
        <v>4550</v>
      </c>
      <c r="V281" t="s">
        <v>4551</v>
      </c>
      <c r="W281" t="s">
        <v>4552</v>
      </c>
      <c r="X281" t="s">
        <v>4553</v>
      </c>
      <c r="Y281" t="s">
        <v>4554</v>
      </c>
      <c r="Z281" t="s">
        <v>4555</v>
      </c>
      <c r="AA281" t="s">
        <v>4556</v>
      </c>
      <c r="AB281" t="s">
        <v>4557</v>
      </c>
      <c r="AC281" t="s">
        <v>74</v>
      </c>
      <c r="AD281" t="s">
        <v>74</v>
      </c>
      <c r="AE281" t="s">
        <v>74</v>
      </c>
      <c r="AF281" t="s">
        <v>74</v>
      </c>
      <c r="AG281">
        <v>34</v>
      </c>
      <c r="AH281">
        <v>13</v>
      </c>
      <c r="AI281">
        <v>16</v>
      </c>
      <c r="AJ281">
        <v>0</v>
      </c>
      <c r="AK281">
        <v>6</v>
      </c>
      <c r="AL281" t="s">
        <v>4393</v>
      </c>
      <c r="AM281" t="s">
        <v>824</v>
      </c>
      <c r="AN281" t="s">
        <v>4394</v>
      </c>
      <c r="AO281" t="s">
        <v>4395</v>
      </c>
      <c r="AP281" t="s">
        <v>74</v>
      </c>
      <c r="AQ281" t="s">
        <v>4396</v>
      </c>
      <c r="AR281" t="s">
        <v>4397</v>
      </c>
      <c r="AS281" t="s">
        <v>74</v>
      </c>
      <c r="AT281" t="s">
        <v>74</v>
      </c>
      <c r="AU281">
        <v>2004</v>
      </c>
      <c r="AV281">
        <v>39</v>
      </c>
      <c r="AW281" t="s">
        <v>74</v>
      </c>
      <c r="AX281" t="s">
        <v>74</v>
      </c>
      <c r="AY281" t="s">
        <v>74</v>
      </c>
      <c r="AZ281" t="s">
        <v>74</v>
      </c>
      <c r="BA281" t="s">
        <v>74</v>
      </c>
      <c r="BB281">
        <v>93</v>
      </c>
      <c r="BC281">
        <v>100</v>
      </c>
      <c r="BD281" t="s">
        <v>74</v>
      </c>
      <c r="BE281" t="s">
        <v>4558</v>
      </c>
      <c r="BF281" t="str">
        <f>HYPERLINK("http://dx.doi.org/10.3189/172756404781814500","http://dx.doi.org/10.3189/172756404781814500")</f>
        <v>http://dx.doi.org/10.3189/172756404781814500</v>
      </c>
      <c r="BG281" t="s">
        <v>74</v>
      </c>
      <c r="BH281" t="s">
        <v>74</v>
      </c>
      <c r="BI281">
        <v>8</v>
      </c>
      <c r="BJ281" t="s">
        <v>560</v>
      </c>
      <c r="BK281" t="s">
        <v>1116</v>
      </c>
      <c r="BL281" t="s">
        <v>561</v>
      </c>
      <c r="BM281" t="s">
        <v>4399</v>
      </c>
      <c r="BN281" t="s">
        <v>74</v>
      </c>
      <c r="BO281" t="s">
        <v>541</v>
      </c>
      <c r="BP281" t="s">
        <v>74</v>
      </c>
      <c r="BQ281" t="s">
        <v>74</v>
      </c>
      <c r="BR281" t="s">
        <v>99</v>
      </c>
      <c r="BS281" t="s">
        <v>4559</v>
      </c>
      <c r="BT281" t="str">
        <f>HYPERLINK("https%3A%2F%2Fwww.webofscience.com%2Fwos%2Fwoscc%2Ffull-record%2FWOS:000232368400015","View Full Record in Web of Science")</f>
        <v>View Full Record in Web of Science</v>
      </c>
    </row>
    <row r="282" spans="1:72" x14ac:dyDescent="0.15">
      <c r="A282" t="s">
        <v>497</v>
      </c>
      <c r="B282" t="s">
        <v>4560</v>
      </c>
      <c r="C282" t="s">
        <v>74</v>
      </c>
      <c r="D282" t="s">
        <v>4378</v>
      </c>
      <c r="E282" t="s">
        <v>74</v>
      </c>
      <c r="F282" t="s">
        <v>4560</v>
      </c>
      <c r="G282" t="s">
        <v>74</v>
      </c>
      <c r="H282" t="s">
        <v>74</v>
      </c>
      <c r="I282" t="s">
        <v>4561</v>
      </c>
      <c r="J282" t="s">
        <v>4380</v>
      </c>
      <c r="K282" t="s">
        <v>4381</v>
      </c>
      <c r="L282" t="s">
        <v>74</v>
      </c>
      <c r="M282" t="s">
        <v>77</v>
      </c>
      <c r="N282" t="s">
        <v>311</v>
      </c>
      <c r="O282" t="s">
        <v>4382</v>
      </c>
      <c r="P282" t="s">
        <v>4383</v>
      </c>
      <c r="Q282" t="s">
        <v>4384</v>
      </c>
      <c r="R282" t="s">
        <v>74</v>
      </c>
      <c r="S282" t="s">
        <v>4385</v>
      </c>
      <c r="T282" t="s">
        <v>74</v>
      </c>
      <c r="U282" t="s">
        <v>4562</v>
      </c>
      <c r="V282" t="s">
        <v>4563</v>
      </c>
      <c r="W282" t="s">
        <v>4564</v>
      </c>
      <c r="X282" t="s">
        <v>4565</v>
      </c>
      <c r="Y282" t="s">
        <v>4566</v>
      </c>
      <c r="Z282" t="s">
        <v>4567</v>
      </c>
      <c r="AA282" t="s">
        <v>74</v>
      </c>
      <c r="AB282" t="s">
        <v>74</v>
      </c>
      <c r="AC282" t="s">
        <v>74</v>
      </c>
      <c r="AD282" t="s">
        <v>74</v>
      </c>
      <c r="AE282" t="s">
        <v>74</v>
      </c>
      <c r="AF282" t="s">
        <v>74</v>
      </c>
      <c r="AG282">
        <v>26</v>
      </c>
      <c r="AH282">
        <v>10</v>
      </c>
      <c r="AI282">
        <v>12</v>
      </c>
      <c r="AJ282">
        <v>0</v>
      </c>
      <c r="AK282">
        <v>6</v>
      </c>
      <c r="AL282" t="s">
        <v>4393</v>
      </c>
      <c r="AM282" t="s">
        <v>824</v>
      </c>
      <c r="AN282" t="s">
        <v>4394</v>
      </c>
      <c r="AO282" t="s">
        <v>4395</v>
      </c>
      <c r="AP282" t="s">
        <v>74</v>
      </c>
      <c r="AQ282" t="s">
        <v>4396</v>
      </c>
      <c r="AR282" t="s">
        <v>4397</v>
      </c>
      <c r="AS282" t="s">
        <v>74</v>
      </c>
      <c r="AT282" t="s">
        <v>74</v>
      </c>
      <c r="AU282">
        <v>2004</v>
      </c>
      <c r="AV282">
        <v>39</v>
      </c>
      <c r="AW282" t="s">
        <v>74</v>
      </c>
      <c r="AX282" t="s">
        <v>74</v>
      </c>
      <c r="AY282" t="s">
        <v>74</v>
      </c>
      <c r="AZ282" t="s">
        <v>74</v>
      </c>
      <c r="BA282" t="s">
        <v>74</v>
      </c>
      <c r="BB282">
        <v>101</v>
      </c>
      <c r="BC282">
        <v>109</v>
      </c>
      <c r="BD282" t="s">
        <v>74</v>
      </c>
      <c r="BE282" t="s">
        <v>4568</v>
      </c>
      <c r="BF282" t="str">
        <f>HYPERLINK("http://dx.doi.org/10.3189/172756404781814690","http://dx.doi.org/10.3189/172756404781814690")</f>
        <v>http://dx.doi.org/10.3189/172756404781814690</v>
      </c>
      <c r="BG282" t="s">
        <v>74</v>
      </c>
      <c r="BH282" t="s">
        <v>74</v>
      </c>
      <c r="BI282">
        <v>9</v>
      </c>
      <c r="BJ282" t="s">
        <v>560</v>
      </c>
      <c r="BK282" t="s">
        <v>1116</v>
      </c>
      <c r="BL282" t="s">
        <v>561</v>
      </c>
      <c r="BM282" t="s">
        <v>4399</v>
      </c>
      <c r="BN282" t="s">
        <v>74</v>
      </c>
      <c r="BO282" t="s">
        <v>541</v>
      </c>
      <c r="BP282" t="s">
        <v>74</v>
      </c>
      <c r="BQ282" t="s">
        <v>74</v>
      </c>
      <c r="BR282" t="s">
        <v>99</v>
      </c>
      <c r="BS282" t="s">
        <v>4569</v>
      </c>
      <c r="BT282" t="str">
        <f>HYPERLINK("https%3A%2F%2Fwww.webofscience.com%2Fwos%2Fwoscc%2Ffull-record%2FWOS:000232368400016","View Full Record in Web of Science")</f>
        <v>View Full Record in Web of Science</v>
      </c>
    </row>
    <row r="283" spans="1:72" x14ac:dyDescent="0.15">
      <c r="A283" t="s">
        <v>497</v>
      </c>
      <c r="B283" t="s">
        <v>4570</v>
      </c>
      <c r="C283" t="s">
        <v>74</v>
      </c>
      <c r="D283" t="s">
        <v>4378</v>
      </c>
      <c r="E283" t="s">
        <v>74</v>
      </c>
      <c r="F283" t="s">
        <v>4570</v>
      </c>
      <c r="G283" t="s">
        <v>74</v>
      </c>
      <c r="H283" t="s">
        <v>74</v>
      </c>
      <c r="I283" t="s">
        <v>4571</v>
      </c>
      <c r="J283" t="s">
        <v>4380</v>
      </c>
      <c r="K283" t="s">
        <v>4381</v>
      </c>
      <c r="L283" t="s">
        <v>74</v>
      </c>
      <c r="M283" t="s">
        <v>77</v>
      </c>
      <c r="N283" t="s">
        <v>311</v>
      </c>
      <c r="O283" t="s">
        <v>4382</v>
      </c>
      <c r="P283" t="s">
        <v>4383</v>
      </c>
      <c r="Q283" t="s">
        <v>4384</v>
      </c>
      <c r="R283" t="s">
        <v>74</v>
      </c>
      <c r="S283" t="s">
        <v>4385</v>
      </c>
      <c r="T283" t="s">
        <v>74</v>
      </c>
      <c r="U283" t="s">
        <v>4572</v>
      </c>
      <c r="V283" t="s">
        <v>4573</v>
      </c>
      <c r="W283" t="s">
        <v>4574</v>
      </c>
      <c r="X283" t="s">
        <v>4575</v>
      </c>
      <c r="Y283" t="s">
        <v>4576</v>
      </c>
      <c r="Z283" t="s">
        <v>4577</v>
      </c>
      <c r="AA283" t="s">
        <v>4578</v>
      </c>
      <c r="AB283" t="s">
        <v>4579</v>
      </c>
      <c r="AC283" t="s">
        <v>74</v>
      </c>
      <c r="AD283" t="s">
        <v>74</v>
      </c>
      <c r="AE283" t="s">
        <v>74</v>
      </c>
      <c r="AF283" t="s">
        <v>74</v>
      </c>
      <c r="AG283">
        <v>44</v>
      </c>
      <c r="AH283">
        <v>15</v>
      </c>
      <c r="AI283">
        <v>18</v>
      </c>
      <c r="AJ283">
        <v>0</v>
      </c>
      <c r="AK283">
        <v>11</v>
      </c>
      <c r="AL283" t="s">
        <v>4393</v>
      </c>
      <c r="AM283" t="s">
        <v>824</v>
      </c>
      <c r="AN283" t="s">
        <v>4394</v>
      </c>
      <c r="AO283" t="s">
        <v>4395</v>
      </c>
      <c r="AP283" t="s">
        <v>74</v>
      </c>
      <c r="AQ283" t="s">
        <v>4396</v>
      </c>
      <c r="AR283" t="s">
        <v>4397</v>
      </c>
      <c r="AS283" t="s">
        <v>74</v>
      </c>
      <c r="AT283" t="s">
        <v>74</v>
      </c>
      <c r="AU283">
        <v>2004</v>
      </c>
      <c r="AV283">
        <v>39</v>
      </c>
      <c r="AW283" t="s">
        <v>74</v>
      </c>
      <c r="AX283" t="s">
        <v>74</v>
      </c>
      <c r="AY283" t="s">
        <v>74</v>
      </c>
      <c r="AZ283" t="s">
        <v>74</v>
      </c>
      <c r="BA283" t="s">
        <v>74</v>
      </c>
      <c r="BB283">
        <v>110</v>
      </c>
      <c r="BC283">
        <v>118</v>
      </c>
      <c r="BD283" t="s">
        <v>74</v>
      </c>
      <c r="BE283" t="s">
        <v>4580</v>
      </c>
      <c r="BF283" t="str">
        <f>HYPERLINK("http://dx.doi.org/10.3189/172756404781813862","http://dx.doi.org/10.3189/172756404781813862")</f>
        <v>http://dx.doi.org/10.3189/172756404781813862</v>
      </c>
      <c r="BG283" t="s">
        <v>74</v>
      </c>
      <c r="BH283" t="s">
        <v>74</v>
      </c>
      <c r="BI283">
        <v>9</v>
      </c>
      <c r="BJ283" t="s">
        <v>560</v>
      </c>
      <c r="BK283" t="s">
        <v>1116</v>
      </c>
      <c r="BL283" t="s">
        <v>561</v>
      </c>
      <c r="BM283" t="s">
        <v>4399</v>
      </c>
      <c r="BN283" t="s">
        <v>74</v>
      </c>
      <c r="BO283" t="s">
        <v>516</v>
      </c>
      <c r="BP283" t="s">
        <v>74</v>
      </c>
      <c r="BQ283" t="s">
        <v>74</v>
      </c>
      <c r="BR283" t="s">
        <v>99</v>
      </c>
      <c r="BS283" t="s">
        <v>4581</v>
      </c>
      <c r="BT283" t="str">
        <f>HYPERLINK("https%3A%2F%2Fwww.webofscience.com%2Fwos%2Fwoscc%2Ffull-record%2FWOS:000232368400017","View Full Record in Web of Science")</f>
        <v>View Full Record in Web of Science</v>
      </c>
    </row>
    <row r="284" spans="1:72" x14ac:dyDescent="0.15">
      <c r="A284" t="s">
        <v>497</v>
      </c>
      <c r="B284" t="s">
        <v>4582</v>
      </c>
      <c r="C284" t="s">
        <v>74</v>
      </c>
      <c r="D284" t="s">
        <v>4378</v>
      </c>
      <c r="E284" t="s">
        <v>74</v>
      </c>
      <c r="F284" t="s">
        <v>4582</v>
      </c>
      <c r="G284" t="s">
        <v>74</v>
      </c>
      <c r="H284" t="s">
        <v>74</v>
      </c>
      <c r="I284" t="s">
        <v>4583</v>
      </c>
      <c r="J284" t="s">
        <v>4380</v>
      </c>
      <c r="K284" t="s">
        <v>4381</v>
      </c>
      <c r="L284" t="s">
        <v>74</v>
      </c>
      <c r="M284" t="s">
        <v>77</v>
      </c>
      <c r="N284" t="s">
        <v>311</v>
      </c>
      <c r="O284" t="s">
        <v>4382</v>
      </c>
      <c r="P284" t="s">
        <v>4383</v>
      </c>
      <c r="Q284" t="s">
        <v>4384</v>
      </c>
      <c r="R284" t="s">
        <v>74</v>
      </c>
      <c r="S284" t="s">
        <v>4385</v>
      </c>
      <c r="T284" t="s">
        <v>74</v>
      </c>
      <c r="U284" t="s">
        <v>4584</v>
      </c>
      <c r="V284" t="s">
        <v>4585</v>
      </c>
      <c r="W284" t="s">
        <v>4586</v>
      </c>
      <c r="X284" t="s">
        <v>4587</v>
      </c>
      <c r="Y284" t="s">
        <v>4588</v>
      </c>
      <c r="Z284" t="s">
        <v>4589</v>
      </c>
      <c r="AA284" t="s">
        <v>4590</v>
      </c>
      <c r="AB284" t="s">
        <v>4591</v>
      </c>
      <c r="AC284" t="s">
        <v>74</v>
      </c>
      <c r="AD284" t="s">
        <v>74</v>
      </c>
      <c r="AE284" t="s">
        <v>74</v>
      </c>
      <c r="AF284" t="s">
        <v>74</v>
      </c>
      <c r="AG284">
        <v>33</v>
      </c>
      <c r="AH284">
        <v>96</v>
      </c>
      <c r="AI284">
        <v>106</v>
      </c>
      <c r="AJ284">
        <v>1</v>
      </c>
      <c r="AK284">
        <v>28</v>
      </c>
      <c r="AL284" t="s">
        <v>4393</v>
      </c>
      <c r="AM284" t="s">
        <v>824</v>
      </c>
      <c r="AN284" t="s">
        <v>4394</v>
      </c>
      <c r="AO284" t="s">
        <v>4395</v>
      </c>
      <c r="AP284" t="s">
        <v>74</v>
      </c>
      <c r="AQ284" t="s">
        <v>4396</v>
      </c>
      <c r="AR284" t="s">
        <v>4397</v>
      </c>
      <c r="AS284" t="s">
        <v>74</v>
      </c>
      <c r="AT284" t="s">
        <v>74</v>
      </c>
      <c r="AU284">
        <v>2004</v>
      </c>
      <c r="AV284">
        <v>39</v>
      </c>
      <c r="AW284" t="s">
        <v>74</v>
      </c>
      <c r="AX284" t="s">
        <v>74</v>
      </c>
      <c r="AY284" t="s">
        <v>74</v>
      </c>
      <c r="AZ284" t="s">
        <v>74</v>
      </c>
      <c r="BA284" t="s">
        <v>74</v>
      </c>
      <c r="BB284">
        <v>119</v>
      </c>
      <c r="BC284">
        <v>126</v>
      </c>
      <c r="BD284" t="s">
        <v>74</v>
      </c>
      <c r="BE284" t="s">
        <v>4592</v>
      </c>
      <c r="BF284" t="str">
        <f>HYPERLINK("http://dx.doi.org/10.3189/172756404781814654","http://dx.doi.org/10.3189/172756404781814654")</f>
        <v>http://dx.doi.org/10.3189/172756404781814654</v>
      </c>
      <c r="BG284" t="s">
        <v>74</v>
      </c>
      <c r="BH284" t="s">
        <v>74</v>
      </c>
      <c r="BI284">
        <v>8</v>
      </c>
      <c r="BJ284" t="s">
        <v>560</v>
      </c>
      <c r="BK284" t="s">
        <v>1116</v>
      </c>
      <c r="BL284" t="s">
        <v>561</v>
      </c>
      <c r="BM284" t="s">
        <v>4399</v>
      </c>
      <c r="BN284" t="s">
        <v>74</v>
      </c>
      <c r="BO284" t="s">
        <v>541</v>
      </c>
      <c r="BP284" t="s">
        <v>74</v>
      </c>
      <c r="BQ284" t="s">
        <v>74</v>
      </c>
      <c r="BR284" t="s">
        <v>99</v>
      </c>
      <c r="BS284" t="s">
        <v>4593</v>
      </c>
      <c r="BT284" t="str">
        <f>HYPERLINK("https%3A%2F%2Fwww.webofscience.com%2Fwos%2Fwoscc%2Ffull-record%2FWOS:000232368400018","View Full Record in Web of Science")</f>
        <v>View Full Record in Web of Science</v>
      </c>
    </row>
    <row r="285" spans="1:72" x14ac:dyDescent="0.15">
      <c r="A285" t="s">
        <v>497</v>
      </c>
      <c r="B285" t="s">
        <v>4594</v>
      </c>
      <c r="C285" t="s">
        <v>74</v>
      </c>
      <c r="D285" t="s">
        <v>4378</v>
      </c>
      <c r="E285" t="s">
        <v>74</v>
      </c>
      <c r="F285" t="s">
        <v>4594</v>
      </c>
      <c r="G285" t="s">
        <v>74</v>
      </c>
      <c r="H285" t="s">
        <v>74</v>
      </c>
      <c r="I285" t="s">
        <v>4595</v>
      </c>
      <c r="J285" t="s">
        <v>4380</v>
      </c>
      <c r="K285" t="s">
        <v>4381</v>
      </c>
      <c r="L285" t="s">
        <v>74</v>
      </c>
      <c r="M285" t="s">
        <v>77</v>
      </c>
      <c r="N285" t="s">
        <v>311</v>
      </c>
      <c r="O285" t="s">
        <v>4382</v>
      </c>
      <c r="P285" t="s">
        <v>4383</v>
      </c>
      <c r="Q285" t="s">
        <v>4384</v>
      </c>
      <c r="R285" t="s">
        <v>74</v>
      </c>
      <c r="S285" t="s">
        <v>4385</v>
      </c>
      <c r="T285" t="s">
        <v>74</v>
      </c>
      <c r="U285" t="s">
        <v>4596</v>
      </c>
      <c r="V285" t="s">
        <v>4597</v>
      </c>
      <c r="W285" t="s">
        <v>4598</v>
      </c>
      <c r="X285" t="s">
        <v>4599</v>
      </c>
      <c r="Y285" t="s">
        <v>4600</v>
      </c>
      <c r="Z285" t="s">
        <v>4601</v>
      </c>
      <c r="AA285" t="s">
        <v>4602</v>
      </c>
      <c r="AB285" t="s">
        <v>4603</v>
      </c>
      <c r="AC285" t="s">
        <v>74</v>
      </c>
      <c r="AD285" t="s">
        <v>74</v>
      </c>
      <c r="AE285" t="s">
        <v>74</v>
      </c>
      <c r="AF285" t="s">
        <v>74</v>
      </c>
      <c r="AG285">
        <v>44</v>
      </c>
      <c r="AH285">
        <v>33</v>
      </c>
      <c r="AI285">
        <v>39</v>
      </c>
      <c r="AJ285">
        <v>0</v>
      </c>
      <c r="AK285">
        <v>8</v>
      </c>
      <c r="AL285" t="s">
        <v>4393</v>
      </c>
      <c r="AM285" t="s">
        <v>824</v>
      </c>
      <c r="AN285" t="s">
        <v>4394</v>
      </c>
      <c r="AO285" t="s">
        <v>4395</v>
      </c>
      <c r="AP285" t="s">
        <v>74</v>
      </c>
      <c r="AQ285" t="s">
        <v>4396</v>
      </c>
      <c r="AR285" t="s">
        <v>4397</v>
      </c>
      <c r="AS285" t="s">
        <v>74</v>
      </c>
      <c r="AT285" t="s">
        <v>74</v>
      </c>
      <c r="AU285">
        <v>2004</v>
      </c>
      <c r="AV285">
        <v>39</v>
      </c>
      <c r="AW285" t="s">
        <v>74</v>
      </c>
      <c r="AX285" t="s">
        <v>74</v>
      </c>
      <c r="AY285" t="s">
        <v>74</v>
      </c>
      <c r="AZ285" t="s">
        <v>74</v>
      </c>
      <c r="BA285" t="s">
        <v>74</v>
      </c>
      <c r="BB285">
        <v>127</v>
      </c>
      <c r="BC285">
        <v>132</v>
      </c>
      <c r="BD285" t="s">
        <v>74</v>
      </c>
      <c r="BE285" t="s">
        <v>4604</v>
      </c>
      <c r="BF285" t="str">
        <f>HYPERLINK("http://dx.doi.org/10.3189/172756404781814249","http://dx.doi.org/10.3189/172756404781814249")</f>
        <v>http://dx.doi.org/10.3189/172756404781814249</v>
      </c>
      <c r="BG285" t="s">
        <v>74</v>
      </c>
      <c r="BH285" t="s">
        <v>74</v>
      </c>
      <c r="BI285">
        <v>6</v>
      </c>
      <c r="BJ285" t="s">
        <v>560</v>
      </c>
      <c r="BK285" t="s">
        <v>1116</v>
      </c>
      <c r="BL285" t="s">
        <v>561</v>
      </c>
      <c r="BM285" t="s">
        <v>4399</v>
      </c>
      <c r="BN285" t="s">
        <v>74</v>
      </c>
      <c r="BO285" t="s">
        <v>516</v>
      </c>
      <c r="BP285" t="s">
        <v>74</v>
      </c>
      <c r="BQ285" t="s">
        <v>74</v>
      </c>
      <c r="BR285" t="s">
        <v>99</v>
      </c>
      <c r="BS285" t="s">
        <v>4605</v>
      </c>
      <c r="BT285" t="str">
        <f>HYPERLINK("https%3A%2F%2Fwww.webofscience.com%2Fwos%2Fwoscc%2Ffull-record%2FWOS:000232368400019","View Full Record in Web of Science")</f>
        <v>View Full Record in Web of Science</v>
      </c>
    </row>
    <row r="286" spans="1:72" x14ac:dyDescent="0.15">
      <c r="A286" t="s">
        <v>497</v>
      </c>
      <c r="B286" t="s">
        <v>4606</v>
      </c>
      <c r="C286" t="s">
        <v>74</v>
      </c>
      <c r="D286" t="s">
        <v>4378</v>
      </c>
      <c r="E286" t="s">
        <v>74</v>
      </c>
      <c r="F286" t="s">
        <v>4606</v>
      </c>
      <c r="G286" t="s">
        <v>74</v>
      </c>
      <c r="H286" t="s">
        <v>74</v>
      </c>
      <c r="I286" t="s">
        <v>4607</v>
      </c>
      <c r="J286" t="s">
        <v>4380</v>
      </c>
      <c r="K286" t="s">
        <v>4381</v>
      </c>
      <c r="L286" t="s">
        <v>74</v>
      </c>
      <c r="M286" t="s">
        <v>77</v>
      </c>
      <c r="N286" t="s">
        <v>311</v>
      </c>
      <c r="O286" t="s">
        <v>4382</v>
      </c>
      <c r="P286" t="s">
        <v>4383</v>
      </c>
      <c r="Q286" t="s">
        <v>4384</v>
      </c>
      <c r="R286" t="s">
        <v>74</v>
      </c>
      <c r="S286" t="s">
        <v>4385</v>
      </c>
      <c r="T286" t="s">
        <v>74</v>
      </c>
      <c r="U286" t="s">
        <v>4608</v>
      </c>
      <c r="V286" t="s">
        <v>4609</v>
      </c>
      <c r="W286" t="s">
        <v>4610</v>
      </c>
      <c r="X286" t="s">
        <v>4611</v>
      </c>
      <c r="Y286" t="s">
        <v>4612</v>
      </c>
      <c r="Z286" t="s">
        <v>4613</v>
      </c>
      <c r="AA286" t="s">
        <v>4614</v>
      </c>
      <c r="AB286" t="s">
        <v>4615</v>
      </c>
      <c r="AC286" t="s">
        <v>74</v>
      </c>
      <c r="AD286" t="s">
        <v>74</v>
      </c>
      <c r="AE286" t="s">
        <v>74</v>
      </c>
      <c r="AF286" t="s">
        <v>74</v>
      </c>
      <c r="AG286">
        <v>24</v>
      </c>
      <c r="AH286">
        <v>48</v>
      </c>
      <c r="AI286">
        <v>60</v>
      </c>
      <c r="AJ286">
        <v>0</v>
      </c>
      <c r="AK286">
        <v>8</v>
      </c>
      <c r="AL286" t="s">
        <v>4393</v>
      </c>
      <c r="AM286" t="s">
        <v>824</v>
      </c>
      <c r="AN286" t="s">
        <v>4394</v>
      </c>
      <c r="AO286" t="s">
        <v>4395</v>
      </c>
      <c r="AP286" t="s">
        <v>74</v>
      </c>
      <c r="AQ286" t="s">
        <v>4396</v>
      </c>
      <c r="AR286" t="s">
        <v>4397</v>
      </c>
      <c r="AS286" t="s">
        <v>74</v>
      </c>
      <c r="AT286" t="s">
        <v>74</v>
      </c>
      <c r="AU286">
        <v>2004</v>
      </c>
      <c r="AV286">
        <v>39</v>
      </c>
      <c r="AW286" t="s">
        <v>74</v>
      </c>
      <c r="AX286" t="s">
        <v>74</v>
      </c>
      <c r="AY286" t="s">
        <v>74</v>
      </c>
      <c r="AZ286" t="s">
        <v>74</v>
      </c>
      <c r="BA286" t="s">
        <v>74</v>
      </c>
      <c r="BB286">
        <v>133</v>
      </c>
      <c r="BC286">
        <v>138</v>
      </c>
      <c r="BD286" t="s">
        <v>74</v>
      </c>
      <c r="BE286" t="s">
        <v>4616</v>
      </c>
      <c r="BF286" t="str">
        <f>HYPERLINK("http://dx.doi.org/10.3189/172756404781814429","http://dx.doi.org/10.3189/172756404781814429")</f>
        <v>http://dx.doi.org/10.3189/172756404781814429</v>
      </c>
      <c r="BG286" t="s">
        <v>74</v>
      </c>
      <c r="BH286" t="s">
        <v>74</v>
      </c>
      <c r="BI286">
        <v>6</v>
      </c>
      <c r="BJ286" t="s">
        <v>560</v>
      </c>
      <c r="BK286" t="s">
        <v>1116</v>
      </c>
      <c r="BL286" t="s">
        <v>561</v>
      </c>
      <c r="BM286" t="s">
        <v>4399</v>
      </c>
      <c r="BN286" t="s">
        <v>74</v>
      </c>
      <c r="BO286" t="s">
        <v>541</v>
      </c>
      <c r="BP286" t="s">
        <v>74</v>
      </c>
      <c r="BQ286" t="s">
        <v>74</v>
      </c>
      <c r="BR286" t="s">
        <v>99</v>
      </c>
      <c r="BS286" t="s">
        <v>4617</v>
      </c>
      <c r="BT286" t="str">
        <f>HYPERLINK("https%3A%2F%2Fwww.webofscience.com%2Fwos%2Fwoscc%2Ffull-record%2FWOS:000232368400020","View Full Record in Web of Science")</f>
        <v>View Full Record in Web of Science</v>
      </c>
    </row>
    <row r="287" spans="1:72" x14ac:dyDescent="0.15">
      <c r="A287" t="s">
        <v>497</v>
      </c>
      <c r="B287" t="s">
        <v>4618</v>
      </c>
      <c r="C287" t="s">
        <v>74</v>
      </c>
      <c r="D287" t="s">
        <v>4378</v>
      </c>
      <c r="E287" t="s">
        <v>74</v>
      </c>
      <c r="F287" t="s">
        <v>4618</v>
      </c>
      <c r="G287" t="s">
        <v>74</v>
      </c>
      <c r="H287" t="s">
        <v>74</v>
      </c>
      <c r="I287" t="s">
        <v>4619</v>
      </c>
      <c r="J287" t="s">
        <v>4380</v>
      </c>
      <c r="K287" t="s">
        <v>4381</v>
      </c>
      <c r="L287" t="s">
        <v>74</v>
      </c>
      <c r="M287" t="s">
        <v>77</v>
      </c>
      <c r="N287" t="s">
        <v>311</v>
      </c>
      <c r="O287" t="s">
        <v>4382</v>
      </c>
      <c r="P287" t="s">
        <v>4383</v>
      </c>
      <c r="Q287" t="s">
        <v>4384</v>
      </c>
      <c r="R287" t="s">
        <v>74</v>
      </c>
      <c r="S287" t="s">
        <v>4385</v>
      </c>
      <c r="T287" t="s">
        <v>74</v>
      </c>
      <c r="U287" t="s">
        <v>4620</v>
      </c>
      <c r="V287" t="s">
        <v>4621</v>
      </c>
      <c r="W287" t="s">
        <v>4622</v>
      </c>
      <c r="X287" t="s">
        <v>4623</v>
      </c>
      <c r="Y287" t="s">
        <v>4624</v>
      </c>
      <c r="Z287" t="s">
        <v>4625</v>
      </c>
      <c r="AA287" t="s">
        <v>4626</v>
      </c>
      <c r="AB287" t="s">
        <v>4627</v>
      </c>
      <c r="AC287" t="s">
        <v>74</v>
      </c>
      <c r="AD287" t="s">
        <v>74</v>
      </c>
      <c r="AE287" t="s">
        <v>74</v>
      </c>
      <c r="AF287" t="s">
        <v>74</v>
      </c>
      <c r="AG287">
        <v>26</v>
      </c>
      <c r="AH287">
        <v>29</v>
      </c>
      <c r="AI287">
        <v>33</v>
      </c>
      <c r="AJ287">
        <v>2</v>
      </c>
      <c r="AK287">
        <v>4</v>
      </c>
      <c r="AL287" t="s">
        <v>4393</v>
      </c>
      <c r="AM287" t="s">
        <v>824</v>
      </c>
      <c r="AN287" t="s">
        <v>4394</v>
      </c>
      <c r="AO287" t="s">
        <v>4395</v>
      </c>
      <c r="AP287" t="s">
        <v>74</v>
      </c>
      <c r="AQ287" t="s">
        <v>4396</v>
      </c>
      <c r="AR287" t="s">
        <v>4397</v>
      </c>
      <c r="AS287" t="s">
        <v>74</v>
      </c>
      <c r="AT287" t="s">
        <v>74</v>
      </c>
      <c r="AU287">
        <v>2004</v>
      </c>
      <c r="AV287">
        <v>39</v>
      </c>
      <c r="AW287" t="s">
        <v>74</v>
      </c>
      <c r="AX287" t="s">
        <v>74</v>
      </c>
      <c r="AY287" t="s">
        <v>74</v>
      </c>
      <c r="AZ287" t="s">
        <v>74</v>
      </c>
      <c r="BA287" t="s">
        <v>74</v>
      </c>
      <c r="BB287">
        <v>139</v>
      </c>
      <c r="BC287">
        <v>145</v>
      </c>
      <c r="BD287" t="s">
        <v>74</v>
      </c>
      <c r="BE287" t="s">
        <v>4628</v>
      </c>
      <c r="BF287" t="str">
        <f>HYPERLINK("http://dx.doi.org/10.3189/172756404781814087","http://dx.doi.org/10.3189/172756404781814087")</f>
        <v>http://dx.doi.org/10.3189/172756404781814087</v>
      </c>
      <c r="BG287" t="s">
        <v>74</v>
      </c>
      <c r="BH287" t="s">
        <v>74</v>
      </c>
      <c r="BI287">
        <v>7</v>
      </c>
      <c r="BJ287" t="s">
        <v>560</v>
      </c>
      <c r="BK287" t="s">
        <v>1116</v>
      </c>
      <c r="BL287" t="s">
        <v>561</v>
      </c>
      <c r="BM287" t="s">
        <v>4399</v>
      </c>
      <c r="BN287" t="s">
        <v>74</v>
      </c>
      <c r="BO287" t="s">
        <v>286</v>
      </c>
      <c r="BP287" t="s">
        <v>74</v>
      </c>
      <c r="BQ287" t="s">
        <v>74</v>
      </c>
      <c r="BR287" t="s">
        <v>99</v>
      </c>
      <c r="BS287" t="s">
        <v>4629</v>
      </c>
      <c r="BT287" t="str">
        <f>HYPERLINK("https%3A%2F%2Fwww.webofscience.com%2Fwos%2Fwoscc%2Ffull-record%2FWOS:000232368400021","View Full Record in Web of Science")</f>
        <v>View Full Record in Web of Science</v>
      </c>
    </row>
    <row r="288" spans="1:72" x14ac:dyDescent="0.15">
      <c r="A288" t="s">
        <v>497</v>
      </c>
      <c r="B288" t="s">
        <v>4630</v>
      </c>
      <c r="C288" t="s">
        <v>74</v>
      </c>
      <c r="D288" t="s">
        <v>4378</v>
      </c>
      <c r="E288" t="s">
        <v>74</v>
      </c>
      <c r="F288" t="s">
        <v>4630</v>
      </c>
      <c r="G288" t="s">
        <v>74</v>
      </c>
      <c r="H288" t="s">
        <v>74</v>
      </c>
      <c r="I288" t="s">
        <v>4631</v>
      </c>
      <c r="J288" t="s">
        <v>4380</v>
      </c>
      <c r="K288" t="s">
        <v>4381</v>
      </c>
      <c r="L288" t="s">
        <v>74</v>
      </c>
      <c r="M288" t="s">
        <v>77</v>
      </c>
      <c r="N288" t="s">
        <v>311</v>
      </c>
      <c r="O288" t="s">
        <v>4382</v>
      </c>
      <c r="P288" t="s">
        <v>4383</v>
      </c>
      <c r="Q288" t="s">
        <v>4384</v>
      </c>
      <c r="R288" t="s">
        <v>74</v>
      </c>
      <c r="S288" t="s">
        <v>4385</v>
      </c>
      <c r="T288" t="s">
        <v>74</v>
      </c>
      <c r="U288" t="s">
        <v>4632</v>
      </c>
      <c r="V288" t="s">
        <v>4633</v>
      </c>
      <c r="W288" t="s">
        <v>4634</v>
      </c>
      <c r="X288" t="s">
        <v>4635</v>
      </c>
      <c r="Y288" t="s">
        <v>4636</v>
      </c>
      <c r="Z288" t="s">
        <v>4637</v>
      </c>
      <c r="AA288" t="s">
        <v>4638</v>
      </c>
      <c r="AB288" t="s">
        <v>4639</v>
      </c>
      <c r="AC288" t="s">
        <v>4640</v>
      </c>
      <c r="AD288" t="s">
        <v>4641</v>
      </c>
      <c r="AE288" t="s">
        <v>74</v>
      </c>
      <c r="AF288" t="s">
        <v>74</v>
      </c>
      <c r="AG288">
        <v>29</v>
      </c>
      <c r="AH288">
        <v>10</v>
      </c>
      <c r="AI288">
        <v>12</v>
      </c>
      <c r="AJ288">
        <v>0</v>
      </c>
      <c r="AK288">
        <v>9</v>
      </c>
      <c r="AL288" t="s">
        <v>4393</v>
      </c>
      <c r="AM288" t="s">
        <v>824</v>
      </c>
      <c r="AN288" t="s">
        <v>4394</v>
      </c>
      <c r="AO288" t="s">
        <v>4395</v>
      </c>
      <c r="AP288" t="s">
        <v>74</v>
      </c>
      <c r="AQ288" t="s">
        <v>4396</v>
      </c>
      <c r="AR288" t="s">
        <v>4397</v>
      </c>
      <c r="AS288" t="s">
        <v>74</v>
      </c>
      <c r="AT288" t="s">
        <v>74</v>
      </c>
      <c r="AU288">
        <v>2004</v>
      </c>
      <c r="AV288">
        <v>39</v>
      </c>
      <c r="AW288" t="s">
        <v>74</v>
      </c>
      <c r="AX288" t="s">
        <v>74</v>
      </c>
      <c r="AY288" t="s">
        <v>74</v>
      </c>
      <c r="AZ288" t="s">
        <v>74</v>
      </c>
      <c r="BA288" t="s">
        <v>74</v>
      </c>
      <c r="BB288">
        <v>146</v>
      </c>
      <c r="BC288">
        <v>154</v>
      </c>
      <c r="BD288" t="s">
        <v>74</v>
      </c>
      <c r="BE288" t="s">
        <v>4642</v>
      </c>
      <c r="BF288" t="str">
        <f>HYPERLINK("http://dx.doi.org/10.3189/172756404781814104","http://dx.doi.org/10.3189/172756404781814104")</f>
        <v>http://dx.doi.org/10.3189/172756404781814104</v>
      </c>
      <c r="BG288" t="s">
        <v>74</v>
      </c>
      <c r="BH288" t="s">
        <v>74</v>
      </c>
      <c r="BI288">
        <v>9</v>
      </c>
      <c r="BJ288" t="s">
        <v>560</v>
      </c>
      <c r="BK288" t="s">
        <v>1116</v>
      </c>
      <c r="BL288" t="s">
        <v>561</v>
      </c>
      <c r="BM288" t="s">
        <v>4399</v>
      </c>
      <c r="BN288" t="s">
        <v>74</v>
      </c>
      <c r="BO288" t="s">
        <v>541</v>
      </c>
      <c r="BP288" t="s">
        <v>74</v>
      </c>
      <c r="BQ288" t="s">
        <v>74</v>
      </c>
      <c r="BR288" t="s">
        <v>99</v>
      </c>
      <c r="BS288" t="s">
        <v>4643</v>
      </c>
      <c r="BT288" t="str">
        <f>HYPERLINK("https%3A%2F%2Fwww.webofscience.com%2Fwos%2Fwoscc%2Ffull-record%2FWOS:000232368400022","View Full Record in Web of Science")</f>
        <v>View Full Record in Web of Science</v>
      </c>
    </row>
    <row r="289" spans="1:72" x14ac:dyDescent="0.15">
      <c r="A289" t="s">
        <v>497</v>
      </c>
      <c r="B289" t="s">
        <v>4644</v>
      </c>
      <c r="C289" t="s">
        <v>74</v>
      </c>
      <c r="D289" t="s">
        <v>4378</v>
      </c>
      <c r="E289" t="s">
        <v>74</v>
      </c>
      <c r="F289" t="s">
        <v>4644</v>
      </c>
      <c r="G289" t="s">
        <v>74</v>
      </c>
      <c r="H289" t="s">
        <v>74</v>
      </c>
      <c r="I289" t="s">
        <v>4645</v>
      </c>
      <c r="J289" t="s">
        <v>4380</v>
      </c>
      <c r="K289" t="s">
        <v>4381</v>
      </c>
      <c r="L289" t="s">
        <v>74</v>
      </c>
      <c r="M289" t="s">
        <v>77</v>
      </c>
      <c r="N289" t="s">
        <v>311</v>
      </c>
      <c r="O289" t="s">
        <v>4382</v>
      </c>
      <c r="P289" t="s">
        <v>4383</v>
      </c>
      <c r="Q289" t="s">
        <v>4384</v>
      </c>
      <c r="R289" t="s">
        <v>74</v>
      </c>
      <c r="S289" t="s">
        <v>4385</v>
      </c>
      <c r="T289" t="s">
        <v>74</v>
      </c>
      <c r="U289" t="s">
        <v>4646</v>
      </c>
      <c r="V289" t="s">
        <v>4647</v>
      </c>
      <c r="W289" t="s">
        <v>4648</v>
      </c>
      <c r="X289" t="s">
        <v>4649</v>
      </c>
      <c r="Y289" t="s">
        <v>4650</v>
      </c>
      <c r="Z289" t="s">
        <v>4651</v>
      </c>
      <c r="AA289" t="s">
        <v>74</v>
      </c>
      <c r="AB289" t="s">
        <v>74</v>
      </c>
      <c r="AC289" t="s">
        <v>74</v>
      </c>
      <c r="AD289" t="s">
        <v>74</v>
      </c>
      <c r="AE289" t="s">
        <v>74</v>
      </c>
      <c r="AF289" t="s">
        <v>74</v>
      </c>
      <c r="AG289">
        <v>26</v>
      </c>
      <c r="AH289">
        <v>9</v>
      </c>
      <c r="AI289">
        <v>12</v>
      </c>
      <c r="AJ289">
        <v>0</v>
      </c>
      <c r="AK289">
        <v>7</v>
      </c>
      <c r="AL289" t="s">
        <v>4393</v>
      </c>
      <c r="AM289" t="s">
        <v>824</v>
      </c>
      <c r="AN289" t="s">
        <v>4394</v>
      </c>
      <c r="AO289" t="s">
        <v>4395</v>
      </c>
      <c r="AP289" t="s">
        <v>74</v>
      </c>
      <c r="AQ289" t="s">
        <v>4396</v>
      </c>
      <c r="AR289" t="s">
        <v>4397</v>
      </c>
      <c r="AS289" t="s">
        <v>74</v>
      </c>
      <c r="AT289" t="s">
        <v>74</v>
      </c>
      <c r="AU289">
        <v>2004</v>
      </c>
      <c r="AV289">
        <v>39</v>
      </c>
      <c r="AW289" t="s">
        <v>74</v>
      </c>
      <c r="AX289" t="s">
        <v>74</v>
      </c>
      <c r="AY289" t="s">
        <v>74</v>
      </c>
      <c r="AZ289" t="s">
        <v>74</v>
      </c>
      <c r="BA289" t="s">
        <v>74</v>
      </c>
      <c r="BB289">
        <v>155</v>
      </c>
      <c r="BC289">
        <v>160</v>
      </c>
      <c r="BD289" t="s">
        <v>74</v>
      </c>
      <c r="BE289" t="s">
        <v>74</v>
      </c>
      <c r="BF289" t="s">
        <v>74</v>
      </c>
      <c r="BG289" t="s">
        <v>74</v>
      </c>
      <c r="BH289" t="s">
        <v>74</v>
      </c>
      <c r="BI289">
        <v>6</v>
      </c>
      <c r="BJ289" t="s">
        <v>560</v>
      </c>
      <c r="BK289" t="s">
        <v>1116</v>
      </c>
      <c r="BL289" t="s">
        <v>561</v>
      </c>
      <c r="BM289" t="s">
        <v>4399</v>
      </c>
      <c r="BN289" t="s">
        <v>74</v>
      </c>
      <c r="BO289" t="s">
        <v>74</v>
      </c>
      <c r="BP289" t="s">
        <v>74</v>
      </c>
      <c r="BQ289" t="s">
        <v>74</v>
      </c>
      <c r="BR289" t="s">
        <v>99</v>
      </c>
      <c r="BS289" t="s">
        <v>4652</v>
      </c>
      <c r="BT289" t="str">
        <f>HYPERLINK("https%3A%2F%2Fwww.webofscience.com%2Fwos%2Fwoscc%2Ffull-record%2FWOS:000232368400023","View Full Record in Web of Science")</f>
        <v>View Full Record in Web of Science</v>
      </c>
    </row>
    <row r="290" spans="1:72" x14ac:dyDescent="0.15">
      <c r="A290" t="s">
        <v>497</v>
      </c>
      <c r="B290" t="s">
        <v>4653</v>
      </c>
      <c r="C290" t="s">
        <v>74</v>
      </c>
      <c r="D290" t="s">
        <v>4378</v>
      </c>
      <c r="E290" t="s">
        <v>74</v>
      </c>
      <c r="F290" t="s">
        <v>4653</v>
      </c>
      <c r="G290" t="s">
        <v>74</v>
      </c>
      <c r="H290" t="s">
        <v>74</v>
      </c>
      <c r="I290" t="s">
        <v>4654</v>
      </c>
      <c r="J290" t="s">
        <v>4380</v>
      </c>
      <c r="K290" t="s">
        <v>4381</v>
      </c>
      <c r="L290" t="s">
        <v>74</v>
      </c>
      <c r="M290" t="s">
        <v>77</v>
      </c>
      <c r="N290" t="s">
        <v>311</v>
      </c>
      <c r="O290" t="s">
        <v>4382</v>
      </c>
      <c r="P290" t="s">
        <v>4383</v>
      </c>
      <c r="Q290" t="s">
        <v>4384</v>
      </c>
      <c r="R290" t="s">
        <v>74</v>
      </c>
      <c r="S290" t="s">
        <v>4385</v>
      </c>
      <c r="T290" t="s">
        <v>74</v>
      </c>
      <c r="U290" t="s">
        <v>4655</v>
      </c>
      <c r="V290" t="s">
        <v>4656</v>
      </c>
      <c r="W290" t="s">
        <v>4657</v>
      </c>
      <c r="X290" t="s">
        <v>4658</v>
      </c>
      <c r="Y290" t="s">
        <v>4659</v>
      </c>
      <c r="Z290" t="s">
        <v>4660</v>
      </c>
      <c r="AA290" t="s">
        <v>4661</v>
      </c>
      <c r="AB290" t="s">
        <v>4662</v>
      </c>
      <c r="AC290" t="s">
        <v>74</v>
      </c>
      <c r="AD290" t="s">
        <v>74</v>
      </c>
      <c r="AE290" t="s">
        <v>74</v>
      </c>
      <c r="AF290" t="s">
        <v>74</v>
      </c>
      <c r="AG290">
        <v>51</v>
      </c>
      <c r="AH290">
        <v>16</v>
      </c>
      <c r="AI290">
        <v>21</v>
      </c>
      <c r="AJ290">
        <v>0</v>
      </c>
      <c r="AK290">
        <v>9</v>
      </c>
      <c r="AL290" t="s">
        <v>4393</v>
      </c>
      <c r="AM290" t="s">
        <v>824</v>
      </c>
      <c r="AN290" t="s">
        <v>4394</v>
      </c>
      <c r="AO290" t="s">
        <v>4395</v>
      </c>
      <c r="AP290" t="s">
        <v>74</v>
      </c>
      <c r="AQ290" t="s">
        <v>4396</v>
      </c>
      <c r="AR290" t="s">
        <v>4397</v>
      </c>
      <c r="AS290" t="s">
        <v>74</v>
      </c>
      <c r="AT290" t="s">
        <v>74</v>
      </c>
      <c r="AU290">
        <v>2004</v>
      </c>
      <c r="AV290">
        <v>39</v>
      </c>
      <c r="AW290" t="s">
        <v>74</v>
      </c>
      <c r="AX290" t="s">
        <v>74</v>
      </c>
      <c r="AY290" t="s">
        <v>74</v>
      </c>
      <c r="AZ290" t="s">
        <v>74</v>
      </c>
      <c r="BA290" t="s">
        <v>74</v>
      </c>
      <c r="BB290">
        <v>161</v>
      </c>
      <c r="BC290">
        <v>168</v>
      </c>
      <c r="BD290" t="s">
        <v>74</v>
      </c>
      <c r="BE290" t="s">
        <v>4663</v>
      </c>
      <c r="BF290" t="str">
        <f>HYPERLINK("http://dx.doi.org/10.3189/172756404781814339","http://dx.doi.org/10.3189/172756404781814339")</f>
        <v>http://dx.doi.org/10.3189/172756404781814339</v>
      </c>
      <c r="BG290" t="s">
        <v>74</v>
      </c>
      <c r="BH290" t="s">
        <v>74</v>
      </c>
      <c r="BI290">
        <v>8</v>
      </c>
      <c r="BJ290" t="s">
        <v>560</v>
      </c>
      <c r="BK290" t="s">
        <v>1116</v>
      </c>
      <c r="BL290" t="s">
        <v>561</v>
      </c>
      <c r="BM290" t="s">
        <v>4399</v>
      </c>
      <c r="BN290" t="s">
        <v>74</v>
      </c>
      <c r="BO290" t="s">
        <v>286</v>
      </c>
      <c r="BP290" t="s">
        <v>74</v>
      </c>
      <c r="BQ290" t="s">
        <v>74</v>
      </c>
      <c r="BR290" t="s">
        <v>99</v>
      </c>
      <c r="BS290" t="s">
        <v>4664</v>
      </c>
      <c r="BT290" t="str">
        <f>HYPERLINK("https%3A%2F%2Fwww.webofscience.com%2Fwos%2Fwoscc%2Ffull-record%2FWOS:000232368400024","View Full Record in Web of Science")</f>
        <v>View Full Record in Web of Science</v>
      </c>
    </row>
    <row r="291" spans="1:72" x14ac:dyDescent="0.15">
      <c r="A291" t="s">
        <v>497</v>
      </c>
      <c r="B291" t="s">
        <v>4665</v>
      </c>
      <c r="C291" t="s">
        <v>74</v>
      </c>
      <c r="D291" t="s">
        <v>4378</v>
      </c>
      <c r="E291" t="s">
        <v>74</v>
      </c>
      <c r="F291" t="s">
        <v>4665</v>
      </c>
      <c r="G291" t="s">
        <v>74</v>
      </c>
      <c r="H291" t="s">
        <v>74</v>
      </c>
      <c r="I291" t="s">
        <v>4666</v>
      </c>
      <c r="J291" t="s">
        <v>4380</v>
      </c>
      <c r="K291" t="s">
        <v>4381</v>
      </c>
      <c r="L291" t="s">
        <v>74</v>
      </c>
      <c r="M291" t="s">
        <v>77</v>
      </c>
      <c r="N291" t="s">
        <v>311</v>
      </c>
      <c r="O291" t="s">
        <v>4382</v>
      </c>
      <c r="P291" t="s">
        <v>4383</v>
      </c>
      <c r="Q291" t="s">
        <v>4384</v>
      </c>
      <c r="R291" t="s">
        <v>74</v>
      </c>
      <c r="S291" t="s">
        <v>4385</v>
      </c>
      <c r="T291" t="s">
        <v>74</v>
      </c>
      <c r="U291" t="s">
        <v>4667</v>
      </c>
      <c r="V291" t="s">
        <v>4668</v>
      </c>
      <c r="W291" t="s">
        <v>4669</v>
      </c>
      <c r="X291" t="s">
        <v>4670</v>
      </c>
      <c r="Y291" t="s">
        <v>4671</v>
      </c>
      <c r="Z291" t="s">
        <v>4672</v>
      </c>
      <c r="AA291" t="s">
        <v>4673</v>
      </c>
      <c r="AB291" t="s">
        <v>4674</v>
      </c>
      <c r="AC291" t="s">
        <v>74</v>
      </c>
      <c r="AD291" t="s">
        <v>74</v>
      </c>
      <c r="AE291" t="s">
        <v>74</v>
      </c>
      <c r="AF291" t="s">
        <v>74</v>
      </c>
      <c r="AG291">
        <v>28</v>
      </c>
      <c r="AH291">
        <v>22</v>
      </c>
      <c r="AI291">
        <v>25</v>
      </c>
      <c r="AJ291">
        <v>0</v>
      </c>
      <c r="AK291">
        <v>10</v>
      </c>
      <c r="AL291" t="s">
        <v>4393</v>
      </c>
      <c r="AM291" t="s">
        <v>824</v>
      </c>
      <c r="AN291" t="s">
        <v>4394</v>
      </c>
      <c r="AO291" t="s">
        <v>4395</v>
      </c>
      <c r="AP291" t="s">
        <v>74</v>
      </c>
      <c r="AQ291" t="s">
        <v>4396</v>
      </c>
      <c r="AR291" t="s">
        <v>4397</v>
      </c>
      <c r="AS291" t="s">
        <v>74</v>
      </c>
      <c r="AT291" t="s">
        <v>74</v>
      </c>
      <c r="AU291">
        <v>2004</v>
      </c>
      <c r="AV291">
        <v>39</v>
      </c>
      <c r="AW291" t="s">
        <v>74</v>
      </c>
      <c r="AX291" t="s">
        <v>74</v>
      </c>
      <c r="AY291" t="s">
        <v>74</v>
      </c>
      <c r="AZ291" t="s">
        <v>74</v>
      </c>
      <c r="BA291" t="s">
        <v>74</v>
      </c>
      <c r="BB291">
        <v>169</v>
      </c>
      <c r="BC291">
        <v>174</v>
      </c>
      <c r="BD291" t="s">
        <v>74</v>
      </c>
      <c r="BE291" t="s">
        <v>4675</v>
      </c>
      <c r="BF291" t="str">
        <f>HYPERLINK("http://dx.doi.org/10.3189/172756404781814483","http://dx.doi.org/10.3189/172756404781814483")</f>
        <v>http://dx.doi.org/10.3189/172756404781814483</v>
      </c>
      <c r="BG291" t="s">
        <v>74</v>
      </c>
      <c r="BH291" t="s">
        <v>74</v>
      </c>
      <c r="BI291">
        <v>6</v>
      </c>
      <c r="BJ291" t="s">
        <v>560</v>
      </c>
      <c r="BK291" t="s">
        <v>1116</v>
      </c>
      <c r="BL291" t="s">
        <v>561</v>
      </c>
      <c r="BM291" t="s">
        <v>4399</v>
      </c>
      <c r="BN291" t="s">
        <v>74</v>
      </c>
      <c r="BO291" t="s">
        <v>516</v>
      </c>
      <c r="BP291" t="s">
        <v>74</v>
      </c>
      <c r="BQ291" t="s">
        <v>74</v>
      </c>
      <c r="BR291" t="s">
        <v>99</v>
      </c>
      <c r="BS291" t="s">
        <v>4676</v>
      </c>
      <c r="BT291" t="str">
        <f>HYPERLINK("https%3A%2F%2Fwww.webofscience.com%2Fwos%2Fwoscc%2Ffull-record%2FWOS:000232368400025","View Full Record in Web of Science")</f>
        <v>View Full Record in Web of Science</v>
      </c>
    </row>
    <row r="292" spans="1:72" x14ac:dyDescent="0.15">
      <c r="A292" t="s">
        <v>497</v>
      </c>
      <c r="B292" t="s">
        <v>4677</v>
      </c>
      <c r="C292" t="s">
        <v>74</v>
      </c>
      <c r="D292" t="s">
        <v>4378</v>
      </c>
      <c r="E292" t="s">
        <v>74</v>
      </c>
      <c r="F292" t="s">
        <v>4677</v>
      </c>
      <c r="G292" t="s">
        <v>74</v>
      </c>
      <c r="H292" t="s">
        <v>74</v>
      </c>
      <c r="I292" t="s">
        <v>4678</v>
      </c>
      <c r="J292" t="s">
        <v>4380</v>
      </c>
      <c r="K292" t="s">
        <v>4381</v>
      </c>
      <c r="L292" t="s">
        <v>74</v>
      </c>
      <c r="M292" t="s">
        <v>77</v>
      </c>
      <c r="N292" t="s">
        <v>311</v>
      </c>
      <c r="O292" t="s">
        <v>4382</v>
      </c>
      <c r="P292" t="s">
        <v>4383</v>
      </c>
      <c r="Q292" t="s">
        <v>4384</v>
      </c>
      <c r="R292" t="s">
        <v>74</v>
      </c>
      <c r="S292" t="s">
        <v>4385</v>
      </c>
      <c r="T292" t="s">
        <v>74</v>
      </c>
      <c r="U292" t="s">
        <v>4679</v>
      </c>
      <c r="V292" t="s">
        <v>4680</v>
      </c>
      <c r="W292" t="s">
        <v>4681</v>
      </c>
      <c r="X292" t="s">
        <v>4682</v>
      </c>
      <c r="Y292" t="s">
        <v>4683</v>
      </c>
      <c r="Z292" t="s">
        <v>4684</v>
      </c>
      <c r="AA292" t="s">
        <v>74</v>
      </c>
      <c r="AB292" t="s">
        <v>4685</v>
      </c>
      <c r="AC292" t="s">
        <v>74</v>
      </c>
      <c r="AD292" t="s">
        <v>74</v>
      </c>
      <c r="AE292" t="s">
        <v>74</v>
      </c>
      <c r="AF292" t="s">
        <v>74</v>
      </c>
      <c r="AG292">
        <v>22</v>
      </c>
      <c r="AH292">
        <v>2</v>
      </c>
      <c r="AI292">
        <v>2</v>
      </c>
      <c r="AJ292">
        <v>0</v>
      </c>
      <c r="AK292">
        <v>5</v>
      </c>
      <c r="AL292" t="s">
        <v>4393</v>
      </c>
      <c r="AM292" t="s">
        <v>824</v>
      </c>
      <c r="AN292" t="s">
        <v>4394</v>
      </c>
      <c r="AO292" t="s">
        <v>4395</v>
      </c>
      <c r="AP292" t="s">
        <v>74</v>
      </c>
      <c r="AQ292" t="s">
        <v>4396</v>
      </c>
      <c r="AR292" t="s">
        <v>4397</v>
      </c>
      <c r="AS292" t="s">
        <v>74</v>
      </c>
      <c r="AT292" t="s">
        <v>74</v>
      </c>
      <c r="AU292">
        <v>2004</v>
      </c>
      <c r="AV292">
        <v>39</v>
      </c>
      <c r="AW292" t="s">
        <v>74</v>
      </c>
      <c r="AX292" t="s">
        <v>74</v>
      </c>
      <c r="AY292" t="s">
        <v>74</v>
      </c>
      <c r="AZ292" t="s">
        <v>74</v>
      </c>
      <c r="BA292" t="s">
        <v>74</v>
      </c>
      <c r="BB292">
        <v>175</v>
      </c>
      <c r="BC292">
        <v>180</v>
      </c>
      <c r="BD292" t="s">
        <v>74</v>
      </c>
      <c r="BE292" t="s">
        <v>4686</v>
      </c>
      <c r="BF292" t="str">
        <f>HYPERLINK("http://dx.doi.org/10.3189/172756404781814555","http://dx.doi.org/10.3189/172756404781814555")</f>
        <v>http://dx.doi.org/10.3189/172756404781814555</v>
      </c>
      <c r="BG292" t="s">
        <v>74</v>
      </c>
      <c r="BH292" t="s">
        <v>74</v>
      </c>
      <c r="BI292">
        <v>6</v>
      </c>
      <c r="BJ292" t="s">
        <v>560</v>
      </c>
      <c r="BK292" t="s">
        <v>1116</v>
      </c>
      <c r="BL292" t="s">
        <v>561</v>
      </c>
      <c r="BM292" t="s">
        <v>4399</v>
      </c>
      <c r="BN292" t="s">
        <v>74</v>
      </c>
      <c r="BO292" t="s">
        <v>541</v>
      </c>
      <c r="BP292" t="s">
        <v>74</v>
      </c>
      <c r="BQ292" t="s">
        <v>74</v>
      </c>
      <c r="BR292" t="s">
        <v>99</v>
      </c>
      <c r="BS292" t="s">
        <v>4687</v>
      </c>
      <c r="BT292" t="str">
        <f>HYPERLINK("https%3A%2F%2Fwww.webofscience.com%2Fwos%2Fwoscc%2Ffull-record%2FWOS:000232368400026","View Full Record in Web of Science")</f>
        <v>View Full Record in Web of Science</v>
      </c>
    </row>
    <row r="293" spans="1:72" x14ac:dyDescent="0.15">
      <c r="A293" t="s">
        <v>497</v>
      </c>
      <c r="B293" t="s">
        <v>4688</v>
      </c>
      <c r="C293" t="s">
        <v>74</v>
      </c>
      <c r="D293" t="s">
        <v>4378</v>
      </c>
      <c r="E293" t="s">
        <v>74</v>
      </c>
      <c r="F293" t="s">
        <v>4688</v>
      </c>
      <c r="G293" t="s">
        <v>74</v>
      </c>
      <c r="H293" t="s">
        <v>74</v>
      </c>
      <c r="I293" t="s">
        <v>4689</v>
      </c>
      <c r="J293" t="s">
        <v>4380</v>
      </c>
      <c r="K293" t="s">
        <v>4381</v>
      </c>
      <c r="L293" t="s">
        <v>74</v>
      </c>
      <c r="M293" t="s">
        <v>77</v>
      </c>
      <c r="N293" t="s">
        <v>311</v>
      </c>
      <c r="O293" t="s">
        <v>4382</v>
      </c>
      <c r="P293" t="s">
        <v>4383</v>
      </c>
      <c r="Q293" t="s">
        <v>4384</v>
      </c>
      <c r="R293" t="s">
        <v>74</v>
      </c>
      <c r="S293" t="s">
        <v>4385</v>
      </c>
      <c r="T293" t="s">
        <v>74</v>
      </c>
      <c r="U293" t="s">
        <v>4690</v>
      </c>
      <c r="V293" t="s">
        <v>4691</v>
      </c>
      <c r="W293" t="s">
        <v>4692</v>
      </c>
      <c r="X293" t="s">
        <v>4693</v>
      </c>
      <c r="Y293" t="s">
        <v>4694</v>
      </c>
      <c r="Z293" t="s">
        <v>4695</v>
      </c>
      <c r="AA293" t="s">
        <v>74</v>
      </c>
      <c r="AB293" t="s">
        <v>74</v>
      </c>
      <c r="AC293" t="s">
        <v>74</v>
      </c>
      <c r="AD293" t="s">
        <v>74</v>
      </c>
      <c r="AE293" t="s">
        <v>74</v>
      </c>
      <c r="AF293" t="s">
        <v>74</v>
      </c>
      <c r="AG293">
        <v>24</v>
      </c>
      <c r="AH293">
        <v>9</v>
      </c>
      <c r="AI293">
        <v>14</v>
      </c>
      <c r="AJ293">
        <v>1</v>
      </c>
      <c r="AK293">
        <v>8</v>
      </c>
      <c r="AL293" t="s">
        <v>4393</v>
      </c>
      <c r="AM293" t="s">
        <v>824</v>
      </c>
      <c r="AN293" t="s">
        <v>4394</v>
      </c>
      <c r="AO293" t="s">
        <v>4395</v>
      </c>
      <c r="AP293" t="s">
        <v>74</v>
      </c>
      <c r="AQ293" t="s">
        <v>4396</v>
      </c>
      <c r="AR293" t="s">
        <v>4397</v>
      </c>
      <c r="AS293" t="s">
        <v>74</v>
      </c>
      <c r="AT293" t="s">
        <v>74</v>
      </c>
      <c r="AU293">
        <v>2004</v>
      </c>
      <c r="AV293">
        <v>39</v>
      </c>
      <c r="AW293" t="s">
        <v>74</v>
      </c>
      <c r="AX293" t="s">
        <v>74</v>
      </c>
      <c r="AY293" t="s">
        <v>74</v>
      </c>
      <c r="AZ293" t="s">
        <v>74</v>
      </c>
      <c r="BA293" t="s">
        <v>74</v>
      </c>
      <c r="BB293">
        <v>181</v>
      </c>
      <c r="BC293">
        <v>187</v>
      </c>
      <c r="BD293" t="s">
        <v>74</v>
      </c>
      <c r="BE293" t="s">
        <v>74</v>
      </c>
      <c r="BF293" t="s">
        <v>74</v>
      </c>
      <c r="BG293" t="s">
        <v>74</v>
      </c>
      <c r="BH293" t="s">
        <v>74</v>
      </c>
      <c r="BI293">
        <v>7</v>
      </c>
      <c r="BJ293" t="s">
        <v>560</v>
      </c>
      <c r="BK293" t="s">
        <v>1116</v>
      </c>
      <c r="BL293" t="s">
        <v>561</v>
      </c>
      <c r="BM293" t="s">
        <v>4399</v>
      </c>
      <c r="BN293" t="s">
        <v>74</v>
      </c>
      <c r="BO293" t="s">
        <v>74</v>
      </c>
      <c r="BP293" t="s">
        <v>74</v>
      </c>
      <c r="BQ293" t="s">
        <v>74</v>
      </c>
      <c r="BR293" t="s">
        <v>99</v>
      </c>
      <c r="BS293" t="s">
        <v>4696</v>
      </c>
      <c r="BT293" t="str">
        <f>HYPERLINK("https%3A%2F%2Fwww.webofscience.com%2Fwos%2Fwoscc%2Ffull-record%2FWOS:000232368400027","View Full Record in Web of Science")</f>
        <v>View Full Record in Web of Science</v>
      </c>
    </row>
    <row r="294" spans="1:72" x14ac:dyDescent="0.15">
      <c r="A294" t="s">
        <v>497</v>
      </c>
      <c r="B294" t="s">
        <v>4697</v>
      </c>
      <c r="C294" t="s">
        <v>74</v>
      </c>
      <c r="D294" t="s">
        <v>4378</v>
      </c>
      <c r="E294" t="s">
        <v>74</v>
      </c>
      <c r="F294" t="s">
        <v>4697</v>
      </c>
      <c r="G294" t="s">
        <v>74</v>
      </c>
      <c r="H294" t="s">
        <v>74</v>
      </c>
      <c r="I294" t="s">
        <v>4698</v>
      </c>
      <c r="J294" t="s">
        <v>4380</v>
      </c>
      <c r="K294" t="s">
        <v>4381</v>
      </c>
      <c r="L294" t="s">
        <v>74</v>
      </c>
      <c r="M294" t="s">
        <v>77</v>
      </c>
      <c r="N294" t="s">
        <v>311</v>
      </c>
      <c r="O294" t="s">
        <v>4382</v>
      </c>
      <c r="P294" t="s">
        <v>4383</v>
      </c>
      <c r="Q294" t="s">
        <v>4384</v>
      </c>
      <c r="R294" t="s">
        <v>74</v>
      </c>
      <c r="S294" t="s">
        <v>4385</v>
      </c>
      <c r="T294" t="s">
        <v>74</v>
      </c>
      <c r="U294" t="s">
        <v>4699</v>
      </c>
      <c r="V294" t="s">
        <v>4700</v>
      </c>
      <c r="W294" t="s">
        <v>4701</v>
      </c>
      <c r="X294" t="s">
        <v>4702</v>
      </c>
      <c r="Y294" t="s">
        <v>4703</v>
      </c>
      <c r="Z294" t="s">
        <v>4695</v>
      </c>
      <c r="AA294" t="s">
        <v>4704</v>
      </c>
      <c r="AB294" t="s">
        <v>4705</v>
      </c>
      <c r="AC294" t="s">
        <v>74</v>
      </c>
      <c r="AD294" t="s">
        <v>74</v>
      </c>
      <c r="AE294" t="s">
        <v>74</v>
      </c>
      <c r="AF294" t="s">
        <v>74</v>
      </c>
      <c r="AG294">
        <v>38</v>
      </c>
      <c r="AH294">
        <v>6</v>
      </c>
      <c r="AI294">
        <v>11</v>
      </c>
      <c r="AJ294">
        <v>0</v>
      </c>
      <c r="AK294">
        <v>6</v>
      </c>
      <c r="AL294" t="s">
        <v>4393</v>
      </c>
      <c r="AM294" t="s">
        <v>824</v>
      </c>
      <c r="AN294" t="s">
        <v>4394</v>
      </c>
      <c r="AO294" t="s">
        <v>4395</v>
      </c>
      <c r="AP294" t="s">
        <v>74</v>
      </c>
      <c r="AQ294" t="s">
        <v>4396</v>
      </c>
      <c r="AR294" t="s">
        <v>4397</v>
      </c>
      <c r="AS294" t="s">
        <v>74</v>
      </c>
      <c r="AT294" t="s">
        <v>74</v>
      </c>
      <c r="AU294">
        <v>2004</v>
      </c>
      <c r="AV294">
        <v>39</v>
      </c>
      <c r="AW294" t="s">
        <v>74</v>
      </c>
      <c r="AX294" t="s">
        <v>74</v>
      </c>
      <c r="AY294" t="s">
        <v>74</v>
      </c>
      <c r="AZ294" t="s">
        <v>74</v>
      </c>
      <c r="BA294" t="s">
        <v>74</v>
      </c>
      <c r="BB294">
        <v>188</v>
      </c>
      <c r="BC294">
        <v>194</v>
      </c>
      <c r="BD294" t="s">
        <v>74</v>
      </c>
      <c r="BE294" t="s">
        <v>74</v>
      </c>
      <c r="BF294" t="s">
        <v>74</v>
      </c>
      <c r="BG294" t="s">
        <v>74</v>
      </c>
      <c r="BH294" t="s">
        <v>74</v>
      </c>
      <c r="BI294">
        <v>7</v>
      </c>
      <c r="BJ294" t="s">
        <v>560</v>
      </c>
      <c r="BK294" t="s">
        <v>1116</v>
      </c>
      <c r="BL294" t="s">
        <v>561</v>
      </c>
      <c r="BM294" t="s">
        <v>4399</v>
      </c>
      <c r="BN294" t="s">
        <v>74</v>
      </c>
      <c r="BO294" t="s">
        <v>74</v>
      </c>
      <c r="BP294" t="s">
        <v>74</v>
      </c>
      <c r="BQ294" t="s">
        <v>74</v>
      </c>
      <c r="BR294" t="s">
        <v>99</v>
      </c>
      <c r="BS294" t="s">
        <v>4706</v>
      </c>
      <c r="BT294" t="str">
        <f>HYPERLINK("https%3A%2F%2Fwww.webofscience.com%2Fwos%2Fwoscc%2Ffull-record%2FWOS:000232368400028","View Full Record in Web of Science")</f>
        <v>View Full Record in Web of Science</v>
      </c>
    </row>
    <row r="295" spans="1:72" x14ac:dyDescent="0.15">
      <c r="A295" t="s">
        <v>497</v>
      </c>
      <c r="B295" t="s">
        <v>4707</v>
      </c>
      <c r="C295" t="s">
        <v>74</v>
      </c>
      <c r="D295" t="s">
        <v>4378</v>
      </c>
      <c r="E295" t="s">
        <v>74</v>
      </c>
      <c r="F295" t="s">
        <v>4707</v>
      </c>
      <c r="G295" t="s">
        <v>74</v>
      </c>
      <c r="H295" t="s">
        <v>74</v>
      </c>
      <c r="I295" t="s">
        <v>4708</v>
      </c>
      <c r="J295" t="s">
        <v>4380</v>
      </c>
      <c r="K295" t="s">
        <v>4381</v>
      </c>
      <c r="L295" t="s">
        <v>74</v>
      </c>
      <c r="M295" t="s">
        <v>77</v>
      </c>
      <c r="N295" t="s">
        <v>311</v>
      </c>
      <c r="O295" t="s">
        <v>4382</v>
      </c>
      <c r="P295" t="s">
        <v>4383</v>
      </c>
      <c r="Q295" t="s">
        <v>4384</v>
      </c>
      <c r="R295" t="s">
        <v>74</v>
      </c>
      <c r="S295" t="s">
        <v>4385</v>
      </c>
      <c r="T295" t="s">
        <v>74</v>
      </c>
      <c r="U295" t="s">
        <v>4709</v>
      </c>
      <c r="V295" t="s">
        <v>4710</v>
      </c>
      <c r="W295" t="s">
        <v>4711</v>
      </c>
      <c r="X295" t="s">
        <v>4712</v>
      </c>
      <c r="Y295" t="s">
        <v>4713</v>
      </c>
      <c r="Z295" t="s">
        <v>4714</v>
      </c>
      <c r="AA295" t="s">
        <v>4661</v>
      </c>
      <c r="AB295" t="s">
        <v>74</v>
      </c>
      <c r="AC295" t="s">
        <v>74</v>
      </c>
      <c r="AD295" t="s">
        <v>74</v>
      </c>
      <c r="AE295" t="s">
        <v>74</v>
      </c>
      <c r="AF295" t="s">
        <v>74</v>
      </c>
      <c r="AG295">
        <v>16</v>
      </c>
      <c r="AH295">
        <v>43</v>
      </c>
      <c r="AI295">
        <v>49</v>
      </c>
      <c r="AJ295">
        <v>0</v>
      </c>
      <c r="AK295">
        <v>10</v>
      </c>
      <c r="AL295" t="s">
        <v>4393</v>
      </c>
      <c r="AM295" t="s">
        <v>824</v>
      </c>
      <c r="AN295" t="s">
        <v>4394</v>
      </c>
      <c r="AO295" t="s">
        <v>4395</v>
      </c>
      <c r="AP295" t="s">
        <v>74</v>
      </c>
      <c r="AQ295" t="s">
        <v>4396</v>
      </c>
      <c r="AR295" t="s">
        <v>4397</v>
      </c>
      <c r="AS295" t="s">
        <v>74</v>
      </c>
      <c r="AT295" t="s">
        <v>74</v>
      </c>
      <c r="AU295">
        <v>2004</v>
      </c>
      <c r="AV295">
        <v>39</v>
      </c>
      <c r="AW295" t="s">
        <v>74</v>
      </c>
      <c r="AX295" t="s">
        <v>74</v>
      </c>
      <c r="AY295" t="s">
        <v>74</v>
      </c>
      <c r="AZ295" t="s">
        <v>74</v>
      </c>
      <c r="BA295" t="s">
        <v>74</v>
      </c>
      <c r="BB295">
        <v>195</v>
      </c>
      <c r="BC295">
        <v>200</v>
      </c>
      <c r="BD295" t="s">
        <v>74</v>
      </c>
      <c r="BE295" t="s">
        <v>4715</v>
      </c>
      <c r="BF295" t="str">
        <f>HYPERLINK("http://dx.doi.org/10.3189/172756404781813925","http://dx.doi.org/10.3189/172756404781813925")</f>
        <v>http://dx.doi.org/10.3189/172756404781813925</v>
      </c>
      <c r="BG295" t="s">
        <v>74</v>
      </c>
      <c r="BH295" t="s">
        <v>74</v>
      </c>
      <c r="BI295">
        <v>6</v>
      </c>
      <c r="BJ295" t="s">
        <v>560</v>
      </c>
      <c r="BK295" t="s">
        <v>1116</v>
      </c>
      <c r="BL295" t="s">
        <v>561</v>
      </c>
      <c r="BM295" t="s">
        <v>4399</v>
      </c>
      <c r="BN295" t="s">
        <v>74</v>
      </c>
      <c r="BO295" t="s">
        <v>516</v>
      </c>
      <c r="BP295" t="s">
        <v>74</v>
      </c>
      <c r="BQ295" t="s">
        <v>74</v>
      </c>
      <c r="BR295" t="s">
        <v>99</v>
      </c>
      <c r="BS295" t="s">
        <v>4716</v>
      </c>
      <c r="BT295" t="str">
        <f>HYPERLINK("https%3A%2F%2Fwww.webofscience.com%2Fwos%2Fwoscc%2Ffull-record%2FWOS:000232368400029","View Full Record in Web of Science")</f>
        <v>View Full Record in Web of Science</v>
      </c>
    </row>
    <row r="296" spans="1:72" x14ac:dyDescent="0.15">
      <c r="A296" t="s">
        <v>497</v>
      </c>
      <c r="B296" t="s">
        <v>4717</v>
      </c>
      <c r="C296" t="s">
        <v>74</v>
      </c>
      <c r="D296" t="s">
        <v>4378</v>
      </c>
      <c r="E296" t="s">
        <v>74</v>
      </c>
      <c r="F296" t="s">
        <v>4717</v>
      </c>
      <c r="G296" t="s">
        <v>74</v>
      </c>
      <c r="H296" t="s">
        <v>74</v>
      </c>
      <c r="I296" t="s">
        <v>4718</v>
      </c>
      <c r="J296" t="s">
        <v>4380</v>
      </c>
      <c r="K296" t="s">
        <v>4381</v>
      </c>
      <c r="L296" t="s">
        <v>74</v>
      </c>
      <c r="M296" t="s">
        <v>77</v>
      </c>
      <c r="N296" t="s">
        <v>311</v>
      </c>
      <c r="O296" t="s">
        <v>4382</v>
      </c>
      <c r="P296" t="s">
        <v>4383</v>
      </c>
      <c r="Q296" t="s">
        <v>4384</v>
      </c>
      <c r="R296" t="s">
        <v>74</v>
      </c>
      <c r="S296" t="s">
        <v>4385</v>
      </c>
      <c r="T296" t="s">
        <v>74</v>
      </c>
      <c r="U296" t="s">
        <v>4719</v>
      </c>
      <c r="V296" t="s">
        <v>4720</v>
      </c>
      <c r="W296" t="s">
        <v>4721</v>
      </c>
      <c r="X296" t="s">
        <v>4722</v>
      </c>
      <c r="Y296" t="s">
        <v>4723</v>
      </c>
      <c r="Z296" t="s">
        <v>4724</v>
      </c>
      <c r="AA296" t="s">
        <v>4725</v>
      </c>
      <c r="AB296" t="s">
        <v>4726</v>
      </c>
      <c r="AC296" t="s">
        <v>74</v>
      </c>
      <c r="AD296" t="s">
        <v>74</v>
      </c>
      <c r="AE296" t="s">
        <v>74</v>
      </c>
      <c r="AF296" t="s">
        <v>74</v>
      </c>
      <c r="AG296">
        <v>20</v>
      </c>
      <c r="AH296">
        <v>8</v>
      </c>
      <c r="AI296">
        <v>9</v>
      </c>
      <c r="AJ296">
        <v>0</v>
      </c>
      <c r="AK296">
        <v>4</v>
      </c>
      <c r="AL296" t="s">
        <v>4393</v>
      </c>
      <c r="AM296" t="s">
        <v>824</v>
      </c>
      <c r="AN296" t="s">
        <v>4394</v>
      </c>
      <c r="AO296" t="s">
        <v>4395</v>
      </c>
      <c r="AP296" t="s">
        <v>74</v>
      </c>
      <c r="AQ296" t="s">
        <v>4396</v>
      </c>
      <c r="AR296" t="s">
        <v>4397</v>
      </c>
      <c r="AS296" t="s">
        <v>74</v>
      </c>
      <c r="AT296" t="s">
        <v>74</v>
      </c>
      <c r="AU296">
        <v>2004</v>
      </c>
      <c r="AV296">
        <v>39</v>
      </c>
      <c r="AW296" t="s">
        <v>74</v>
      </c>
      <c r="AX296" t="s">
        <v>74</v>
      </c>
      <c r="AY296" t="s">
        <v>74</v>
      </c>
      <c r="AZ296" t="s">
        <v>74</v>
      </c>
      <c r="BA296" t="s">
        <v>74</v>
      </c>
      <c r="BB296">
        <v>201</v>
      </c>
      <c r="BC296">
        <v>208</v>
      </c>
      <c r="BD296" t="s">
        <v>74</v>
      </c>
      <c r="BE296" t="s">
        <v>4727</v>
      </c>
      <c r="BF296" t="str">
        <f>HYPERLINK("http://dx.doi.org/10.3189/172756404781813880","http://dx.doi.org/10.3189/172756404781813880")</f>
        <v>http://dx.doi.org/10.3189/172756404781813880</v>
      </c>
      <c r="BG296" t="s">
        <v>74</v>
      </c>
      <c r="BH296" t="s">
        <v>74</v>
      </c>
      <c r="BI296">
        <v>8</v>
      </c>
      <c r="BJ296" t="s">
        <v>560</v>
      </c>
      <c r="BK296" t="s">
        <v>1116</v>
      </c>
      <c r="BL296" t="s">
        <v>561</v>
      </c>
      <c r="BM296" t="s">
        <v>4399</v>
      </c>
      <c r="BN296" t="s">
        <v>74</v>
      </c>
      <c r="BO296" t="s">
        <v>286</v>
      </c>
      <c r="BP296" t="s">
        <v>74</v>
      </c>
      <c r="BQ296" t="s">
        <v>74</v>
      </c>
      <c r="BR296" t="s">
        <v>99</v>
      </c>
      <c r="BS296" t="s">
        <v>4728</v>
      </c>
      <c r="BT296" t="str">
        <f>HYPERLINK("https%3A%2F%2Fwww.webofscience.com%2Fwos%2Fwoscc%2Ffull-record%2FWOS:000232368400030","View Full Record in Web of Science")</f>
        <v>View Full Record in Web of Science</v>
      </c>
    </row>
    <row r="297" spans="1:72" x14ac:dyDescent="0.15">
      <c r="A297" t="s">
        <v>497</v>
      </c>
      <c r="B297" t="s">
        <v>4729</v>
      </c>
      <c r="C297" t="s">
        <v>74</v>
      </c>
      <c r="D297" t="s">
        <v>4378</v>
      </c>
      <c r="E297" t="s">
        <v>74</v>
      </c>
      <c r="F297" t="s">
        <v>4729</v>
      </c>
      <c r="G297" t="s">
        <v>74</v>
      </c>
      <c r="H297" t="s">
        <v>74</v>
      </c>
      <c r="I297" t="s">
        <v>4730</v>
      </c>
      <c r="J297" t="s">
        <v>4380</v>
      </c>
      <c r="K297" t="s">
        <v>4381</v>
      </c>
      <c r="L297" t="s">
        <v>74</v>
      </c>
      <c r="M297" t="s">
        <v>77</v>
      </c>
      <c r="N297" t="s">
        <v>311</v>
      </c>
      <c r="O297" t="s">
        <v>4382</v>
      </c>
      <c r="P297" t="s">
        <v>4383</v>
      </c>
      <c r="Q297" t="s">
        <v>4384</v>
      </c>
      <c r="R297" t="s">
        <v>74</v>
      </c>
      <c r="S297" t="s">
        <v>4385</v>
      </c>
      <c r="T297" t="s">
        <v>74</v>
      </c>
      <c r="U297" t="s">
        <v>4731</v>
      </c>
      <c r="V297" t="s">
        <v>4732</v>
      </c>
      <c r="W297" t="s">
        <v>4733</v>
      </c>
      <c r="X297" t="s">
        <v>4734</v>
      </c>
      <c r="Y297" t="s">
        <v>4735</v>
      </c>
      <c r="Z297" t="s">
        <v>4736</v>
      </c>
      <c r="AA297" t="s">
        <v>4737</v>
      </c>
      <c r="AB297" t="s">
        <v>4738</v>
      </c>
      <c r="AC297" t="s">
        <v>74</v>
      </c>
      <c r="AD297" t="s">
        <v>74</v>
      </c>
      <c r="AE297" t="s">
        <v>74</v>
      </c>
      <c r="AF297" t="s">
        <v>74</v>
      </c>
      <c r="AG297">
        <v>23</v>
      </c>
      <c r="AH297">
        <v>17</v>
      </c>
      <c r="AI297">
        <v>17</v>
      </c>
      <c r="AJ297">
        <v>0</v>
      </c>
      <c r="AK297">
        <v>4</v>
      </c>
      <c r="AL297" t="s">
        <v>4393</v>
      </c>
      <c r="AM297" t="s">
        <v>824</v>
      </c>
      <c r="AN297" t="s">
        <v>4394</v>
      </c>
      <c r="AO297" t="s">
        <v>4395</v>
      </c>
      <c r="AP297" t="s">
        <v>74</v>
      </c>
      <c r="AQ297" t="s">
        <v>4396</v>
      </c>
      <c r="AR297" t="s">
        <v>4397</v>
      </c>
      <c r="AS297" t="s">
        <v>74</v>
      </c>
      <c r="AT297" t="s">
        <v>74</v>
      </c>
      <c r="AU297">
        <v>2004</v>
      </c>
      <c r="AV297">
        <v>39</v>
      </c>
      <c r="AW297" t="s">
        <v>74</v>
      </c>
      <c r="AX297" t="s">
        <v>74</v>
      </c>
      <c r="AY297" t="s">
        <v>74</v>
      </c>
      <c r="AZ297" t="s">
        <v>74</v>
      </c>
      <c r="BA297" t="s">
        <v>74</v>
      </c>
      <c r="BB297">
        <v>209</v>
      </c>
      <c r="BC297">
        <v>213</v>
      </c>
      <c r="BD297" t="s">
        <v>74</v>
      </c>
      <c r="BE297" t="s">
        <v>4739</v>
      </c>
      <c r="BF297" t="str">
        <f>HYPERLINK("http://dx.doi.org/10.3189/172756404781814672","http://dx.doi.org/10.3189/172756404781814672")</f>
        <v>http://dx.doi.org/10.3189/172756404781814672</v>
      </c>
      <c r="BG297" t="s">
        <v>74</v>
      </c>
      <c r="BH297" t="s">
        <v>74</v>
      </c>
      <c r="BI297">
        <v>5</v>
      </c>
      <c r="BJ297" t="s">
        <v>560</v>
      </c>
      <c r="BK297" t="s">
        <v>1116</v>
      </c>
      <c r="BL297" t="s">
        <v>561</v>
      </c>
      <c r="BM297" t="s">
        <v>4399</v>
      </c>
      <c r="BN297" t="s">
        <v>74</v>
      </c>
      <c r="BO297" t="s">
        <v>541</v>
      </c>
      <c r="BP297" t="s">
        <v>74</v>
      </c>
      <c r="BQ297" t="s">
        <v>74</v>
      </c>
      <c r="BR297" t="s">
        <v>99</v>
      </c>
      <c r="BS297" t="s">
        <v>4740</v>
      </c>
      <c r="BT297" t="str">
        <f>HYPERLINK("https%3A%2F%2Fwww.webofscience.com%2Fwos%2Fwoscc%2Ffull-record%2FWOS:000232368400031","View Full Record in Web of Science")</f>
        <v>View Full Record in Web of Science</v>
      </c>
    </row>
    <row r="298" spans="1:72" x14ac:dyDescent="0.15">
      <c r="A298" t="s">
        <v>497</v>
      </c>
      <c r="B298" t="s">
        <v>4741</v>
      </c>
      <c r="C298" t="s">
        <v>74</v>
      </c>
      <c r="D298" t="s">
        <v>4378</v>
      </c>
      <c r="E298" t="s">
        <v>74</v>
      </c>
      <c r="F298" t="s">
        <v>4741</v>
      </c>
      <c r="G298" t="s">
        <v>74</v>
      </c>
      <c r="H298" t="s">
        <v>74</v>
      </c>
      <c r="I298" t="s">
        <v>4742</v>
      </c>
      <c r="J298" t="s">
        <v>4380</v>
      </c>
      <c r="K298" t="s">
        <v>4381</v>
      </c>
      <c r="L298" t="s">
        <v>74</v>
      </c>
      <c r="M298" t="s">
        <v>77</v>
      </c>
      <c r="N298" t="s">
        <v>311</v>
      </c>
      <c r="O298" t="s">
        <v>4382</v>
      </c>
      <c r="P298" t="s">
        <v>4383</v>
      </c>
      <c r="Q298" t="s">
        <v>4384</v>
      </c>
      <c r="R298" t="s">
        <v>74</v>
      </c>
      <c r="S298" t="s">
        <v>4385</v>
      </c>
      <c r="T298" t="s">
        <v>74</v>
      </c>
      <c r="U298" t="s">
        <v>4743</v>
      </c>
      <c r="V298" t="s">
        <v>4744</v>
      </c>
      <c r="W298" t="s">
        <v>4745</v>
      </c>
      <c r="X298" t="s">
        <v>1181</v>
      </c>
      <c r="Y298" t="s">
        <v>4746</v>
      </c>
      <c r="Z298" t="s">
        <v>4747</v>
      </c>
      <c r="AA298" t="s">
        <v>4748</v>
      </c>
      <c r="AB298" t="s">
        <v>74</v>
      </c>
      <c r="AC298" t="s">
        <v>74</v>
      </c>
      <c r="AD298" t="s">
        <v>74</v>
      </c>
      <c r="AE298" t="s">
        <v>74</v>
      </c>
      <c r="AF298" t="s">
        <v>74</v>
      </c>
      <c r="AG298">
        <v>21</v>
      </c>
      <c r="AH298">
        <v>20</v>
      </c>
      <c r="AI298">
        <v>24</v>
      </c>
      <c r="AJ298">
        <v>0</v>
      </c>
      <c r="AK298">
        <v>6</v>
      </c>
      <c r="AL298" t="s">
        <v>4393</v>
      </c>
      <c r="AM298" t="s">
        <v>824</v>
      </c>
      <c r="AN298" t="s">
        <v>4394</v>
      </c>
      <c r="AO298" t="s">
        <v>4395</v>
      </c>
      <c r="AP298" t="s">
        <v>74</v>
      </c>
      <c r="AQ298" t="s">
        <v>4396</v>
      </c>
      <c r="AR298" t="s">
        <v>4397</v>
      </c>
      <c r="AS298" t="s">
        <v>74</v>
      </c>
      <c r="AT298" t="s">
        <v>74</v>
      </c>
      <c r="AU298">
        <v>2004</v>
      </c>
      <c r="AV298">
        <v>39</v>
      </c>
      <c r="AW298" t="s">
        <v>74</v>
      </c>
      <c r="AX298" t="s">
        <v>74</v>
      </c>
      <c r="AY298" t="s">
        <v>74</v>
      </c>
      <c r="AZ298" t="s">
        <v>74</v>
      </c>
      <c r="BA298" t="s">
        <v>74</v>
      </c>
      <c r="BB298">
        <v>214</v>
      </c>
      <c r="BC298">
        <v>218</v>
      </c>
      <c r="BD298" t="s">
        <v>74</v>
      </c>
      <c r="BE298" t="s">
        <v>4749</v>
      </c>
      <c r="BF298" t="str">
        <f>HYPERLINK("http://dx.doi.org/10.3189/172756404781814050","http://dx.doi.org/10.3189/172756404781814050")</f>
        <v>http://dx.doi.org/10.3189/172756404781814050</v>
      </c>
      <c r="BG298" t="s">
        <v>74</v>
      </c>
      <c r="BH298" t="s">
        <v>74</v>
      </c>
      <c r="BI298">
        <v>5</v>
      </c>
      <c r="BJ298" t="s">
        <v>560</v>
      </c>
      <c r="BK298" t="s">
        <v>1116</v>
      </c>
      <c r="BL298" t="s">
        <v>561</v>
      </c>
      <c r="BM298" t="s">
        <v>4399</v>
      </c>
      <c r="BN298" t="s">
        <v>74</v>
      </c>
      <c r="BO298" t="s">
        <v>516</v>
      </c>
      <c r="BP298" t="s">
        <v>74</v>
      </c>
      <c r="BQ298" t="s">
        <v>74</v>
      </c>
      <c r="BR298" t="s">
        <v>99</v>
      </c>
      <c r="BS298" t="s">
        <v>4750</v>
      </c>
      <c r="BT298" t="str">
        <f>HYPERLINK("https%3A%2F%2Fwww.webofscience.com%2Fwos%2Fwoscc%2Ffull-record%2FWOS:000232368400032","View Full Record in Web of Science")</f>
        <v>View Full Record in Web of Science</v>
      </c>
    </row>
    <row r="299" spans="1:72" x14ac:dyDescent="0.15">
      <c r="A299" t="s">
        <v>497</v>
      </c>
      <c r="B299" t="s">
        <v>4751</v>
      </c>
      <c r="C299" t="s">
        <v>74</v>
      </c>
      <c r="D299" t="s">
        <v>4378</v>
      </c>
      <c r="E299" t="s">
        <v>74</v>
      </c>
      <c r="F299" t="s">
        <v>4751</v>
      </c>
      <c r="G299" t="s">
        <v>74</v>
      </c>
      <c r="H299" t="s">
        <v>74</v>
      </c>
      <c r="I299" t="s">
        <v>4752</v>
      </c>
      <c r="J299" t="s">
        <v>4380</v>
      </c>
      <c r="K299" t="s">
        <v>4381</v>
      </c>
      <c r="L299" t="s">
        <v>74</v>
      </c>
      <c r="M299" t="s">
        <v>77</v>
      </c>
      <c r="N299" t="s">
        <v>311</v>
      </c>
      <c r="O299" t="s">
        <v>4382</v>
      </c>
      <c r="P299" t="s">
        <v>4383</v>
      </c>
      <c r="Q299" t="s">
        <v>4384</v>
      </c>
      <c r="R299" t="s">
        <v>74</v>
      </c>
      <c r="S299" t="s">
        <v>4385</v>
      </c>
      <c r="T299" t="s">
        <v>74</v>
      </c>
      <c r="U299" t="s">
        <v>4753</v>
      </c>
      <c r="V299" t="s">
        <v>4754</v>
      </c>
      <c r="W299" t="s">
        <v>4755</v>
      </c>
      <c r="X299" t="s">
        <v>2153</v>
      </c>
      <c r="Y299" t="s">
        <v>4756</v>
      </c>
      <c r="Z299" t="s">
        <v>4757</v>
      </c>
      <c r="AA299" t="s">
        <v>1718</v>
      </c>
      <c r="AB299" t="s">
        <v>4758</v>
      </c>
      <c r="AC299" t="s">
        <v>74</v>
      </c>
      <c r="AD299" t="s">
        <v>74</v>
      </c>
      <c r="AE299" t="s">
        <v>74</v>
      </c>
      <c r="AF299" t="s">
        <v>74</v>
      </c>
      <c r="AG299">
        <v>23</v>
      </c>
      <c r="AH299">
        <v>7</v>
      </c>
      <c r="AI299">
        <v>7</v>
      </c>
      <c r="AJ299">
        <v>0</v>
      </c>
      <c r="AK299">
        <v>6</v>
      </c>
      <c r="AL299" t="s">
        <v>4393</v>
      </c>
      <c r="AM299" t="s">
        <v>824</v>
      </c>
      <c r="AN299" t="s">
        <v>4394</v>
      </c>
      <c r="AO299" t="s">
        <v>4395</v>
      </c>
      <c r="AP299" t="s">
        <v>74</v>
      </c>
      <c r="AQ299" t="s">
        <v>4396</v>
      </c>
      <c r="AR299" t="s">
        <v>4397</v>
      </c>
      <c r="AS299" t="s">
        <v>74</v>
      </c>
      <c r="AT299" t="s">
        <v>74</v>
      </c>
      <c r="AU299">
        <v>2004</v>
      </c>
      <c r="AV299">
        <v>39</v>
      </c>
      <c r="AW299" t="s">
        <v>74</v>
      </c>
      <c r="AX299" t="s">
        <v>74</v>
      </c>
      <c r="AY299" t="s">
        <v>74</v>
      </c>
      <c r="AZ299" t="s">
        <v>74</v>
      </c>
      <c r="BA299" t="s">
        <v>74</v>
      </c>
      <c r="BB299">
        <v>219</v>
      </c>
      <c r="BC299">
        <v>222</v>
      </c>
      <c r="BD299" t="s">
        <v>74</v>
      </c>
      <c r="BE299" t="s">
        <v>4759</v>
      </c>
      <c r="BF299" t="str">
        <f>HYPERLINK("http://dx.doi.org/10.3189/172756404781814267","http://dx.doi.org/10.3189/172756404781814267")</f>
        <v>http://dx.doi.org/10.3189/172756404781814267</v>
      </c>
      <c r="BG299" t="s">
        <v>74</v>
      </c>
      <c r="BH299" t="s">
        <v>74</v>
      </c>
      <c r="BI299">
        <v>4</v>
      </c>
      <c r="BJ299" t="s">
        <v>560</v>
      </c>
      <c r="BK299" t="s">
        <v>1116</v>
      </c>
      <c r="BL299" t="s">
        <v>561</v>
      </c>
      <c r="BM299" t="s">
        <v>4399</v>
      </c>
      <c r="BN299" t="s">
        <v>74</v>
      </c>
      <c r="BO299" t="s">
        <v>541</v>
      </c>
      <c r="BP299" t="s">
        <v>74</v>
      </c>
      <c r="BQ299" t="s">
        <v>74</v>
      </c>
      <c r="BR299" t="s">
        <v>99</v>
      </c>
      <c r="BS299" t="s">
        <v>4760</v>
      </c>
      <c r="BT299" t="str">
        <f>HYPERLINK("https%3A%2F%2Fwww.webofscience.com%2Fwos%2Fwoscc%2Ffull-record%2FWOS:000232368400033","View Full Record in Web of Science")</f>
        <v>View Full Record in Web of Science</v>
      </c>
    </row>
    <row r="300" spans="1:72" x14ac:dyDescent="0.15">
      <c r="A300" t="s">
        <v>497</v>
      </c>
      <c r="B300" t="s">
        <v>4761</v>
      </c>
      <c r="C300" t="s">
        <v>74</v>
      </c>
      <c r="D300" t="s">
        <v>4378</v>
      </c>
      <c r="E300" t="s">
        <v>74</v>
      </c>
      <c r="F300" t="s">
        <v>4761</v>
      </c>
      <c r="G300" t="s">
        <v>74</v>
      </c>
      <c r="H300" t="s">
        <v>74</v>
      </c>
      <c r="I300" t="s">
        <v>4762</v>
      </c>
      <c r="J300" t="s">
        <v>4380</v>
      </c>
      <c r="K300" t="s">
        <v>4381</v>
      </c>
      <c r="L300" t="s">
        <v>74</v>
      </c>
      <c r="M300" t="s">
        <v>77</v>
      </c>
      <c r="N300" t="s">
        <v>311</v>
      </c>
      <c r="O300" t="s">
        <v>4382</v>
      </c>
      <c r="P300" t="s">
        <v>4383</v>
      </c>
      <c r="Q300" t="s">
        <v>4384</v>
      </c>
      <c r="R300" t="s">
        <v>74</v>
      </c>
      <c r="S300" t="s">
        <v>4385</v>
      </c>
      <c r="T300" t="s">
        <v>74</v>
      </c>
      <c r="U300" t="s">
        <v>4763</v>
      </c>
      <c r="V300" t="s">
        <v>4764</v>
      </c>
      <c r="W300" t="s">
        <v>4765</v>
      </c>
      <c r="X300" t="s">
        <v>4766</v>
      </c>
      <c r="Y300" t="s">
        <v>4767</v>
      </c>
      <c r="Z300" t="s">
        <v>4768</v>
      </c>
      <c r="AA300" t="s">
        <v>4769</v>
      </c>
      <c r="AB300" t="s">
        <v>4770</v>
      </c>
      <c r="AC300" t="s">
        <v>74</v>
      </c>
      <c r="AD300" t="s">
        <v>74</v>
      </c>
      <c r="AE300" t="s">
        <v>74</v>
      </c>
      <c r="AF300" t="s">
        <v>74</v>
      </c>
      <c r="AG300">
        <v>9</v>
      </c>
      <c r="AH300">
        <v>21</v>
      </c>
      <c r="AI300">
        <v>23</v>
      </c>
      <c r="AJ300">
        <v>2</v>
      </c>
      <c r="AK300">
        <v>12</v>
      </c>
      <c r="AL300" t="s">
        <v>4393</v>
      </c>
      <c r="AM300" t="s">
        <v>824</v>
      </c>
      <c r="AN300" t="s">
        <v>4394</v>
      </c>
      <c r="AO300" t="s">
        <v>4395</v>
      </c>
      <c r="AP300" t="s">
        <v>74</v>
      </c>
      <c r="AQ300" t="s">
        <v>4396</v>
      </c>
      <c r="AR300" t="s">
        <v>4397</v>
      </c>
      <c r="AS300" t="s">
        <v>74</v>
      </c>
      <c r="AT300" t="s">
        <v>74</v>
      </c>
      <c r="AU300">
        <v>2004</v>
      </c>
      <c r="AV300">
        <v>39</v>
      </c>
      <c r="AW300" t="s">
        <v>74</v>
      </c>
      <c r="AX300" t="s">
        <v>74</v>
      </c>
      <c r="AY300" t="s">
        <v>74</v>
      </c>
      <c r="AZ300" t="s">
        <v>74</v>
      </c>
      <c r="BA300" t="s">
        <v>74</v>
      </c>
      <c r="BB300">
        <v>223</v>
      </c>
      <c r="BC300">
        <v>230</v>
      </c>
      <c r="BD300" t="s">
        <v>74</v>
      </c>
      <c r="BE300" t="s">
        <v>4771</v>
      </c>
      <c r="BF300" t="str">
        <f>HYPERLINK("http://dx.doi.org/10.3189/172756404781813871","http://dx.doi.org/10.3189/172756404781813871")</f>
        <v>http://dx.doi.org/10.3189/172756404781813871</v>
      </c>
      <c r="BG300" t="s">
        <v>74</v>
      </c>
      <c r="BH300" t="s">
        <v>74</v>
      </c>
      <c r="BI300">
        <v>8</v>
      </c>
      <c r="BJ300" t="s">
        <v>560</v>
      </c>
      <c r="BK300" t="s">
        <v>1116</v>
      </c>
      <c r="BL300" t="s">
        <v>561</v>
      </c>
      <c r="BM300" t="s">
        <v>4399</v>
      </c>
      <c r="BN300" t="s">
        <v>74</v>
      </c>
      <c r="BO300" t="s">
        <v>541</v>
      </c>
      <c r="BP300" t="s">
        <v>74</v>
      </c>
      <c r="BQ300" t="s">
        <v>74</v>
      </c>
      <c r="BR300" t="s">
        <v>99</v>
      </c>
      <c r="BS300" t="s">
        <v>4772</v>
      </c>
      <c r="BT300" t="str">
        <f>HYPERLINK("https%3A%2F%2Fwww.webofscience.com%2Fwos%2Fwoscc%2Ffull-record%2FWOS:000232368400034","View Full Record in Web of Science")</f>
        <v>View Full Record in Web of Science</v>
      </c>
    </row>
    <row r="301" spans="1:72" x14ac:dyDescent="0.15">
      <c r="A301" t="s">
        <v>497</v>
      </c>
      <c r="B301" t="s">
        <v>4773</v>
      </c>
      <c r="C301" t="s">
        <v>74</v>
      </c>
      <c r="D301" t="s">
        <v>4378</v>
      </c>
      <c r="E301" t="s">
        <v>74</v>
      </c>
      <c r="F301" t="s">
        <v>4773</v>
      </c>
      <c r="G301" t="s">
        <v>74</v>
      </c>
      <c r="H301" t="s">
        <v>74</v>
      </c>
      <c r="I301" t="s">
        <v>4774</v>
      </c>
      <c r="J301" t="s">
        <v>4380</v>
      </c>
      <c r="K301" t="s">
        <v>4381</v>
      </c>
      <c r="L301" t="s">
        <v>74</v>
      </c>
      <c r="M301" t="s">
        <v>77</v>
      </c>
      <c r="N301" t="s">
        <v>311</v>
      </c>
      <c r="O301" t="s">
        <v>4382</v>
      </c>
      <c r="P301" t="s">
        <v>4383</v>
      </c>
      <c r="Q301" t="s">
        <v>4384</v>
      </c>
      <c r="R301" t="s">
        <v>74</v>
      </c>
      <c r="S301" t="s">
        <v>4385</v>
      </c>
      <c r="T301" t="s">
        <v>74</v>
      </c>
      <c r="U301" t="s">
        <v>4775</v>
      </c>
      <c r="V301" t="s">
        <v>4776</v>
      </c>
      <c r="W301" t="s">
        <v>4777</v>
      </c>
      <c r="X301" t="s">
        <v>4778</v>
      </c>
      <c r="Y301" t="s">
        <v>4779</v>
      </c>
      <c r="Z301" t="s">
        <v>4780</v>
      </c>
      <c r="AA301" t="s">
        <v>4614</v>
      </c>
      <c r="AB301" t="s">
        <v>4781</v>
      </c>
      <c r="AC301" t="s">
        <v>74</v>
      </c>
      <c r="AD301" t="s">
        <v>74</v>
      </c>
      <c r="AE301" t="s">
        <v>74</v>
      </c>
      <c r="AF301" t="s">
        <v>74</v>
      </c>
      <c r="AG301">
        <v>34</v>
      </c>
      <c r="AH301">
        <v>35</v>
      </c>
      <c r="AI301">
        <v>40</v>
      </c>
      <c r="AJ301">
        <v>1</v>
      </c>
      <c r="AK301">
        <v>20</v>
      </c>
      <c r="AL301" t="s">
        <v>4393</v>
      </c>
      <c r="AM301" t="s">
        <v>824</v>
      </c>
      <c r="AN301" t="s">
        <v>4394</v>
      </c>
      <c r="AO301" t="s">
        <v>4395</v>
      </c>
      <c r="AP301" t="s">
        <v>74</v>
      </c>
      <c r="AQ301" t="s">
        <v>4396</v>
      </c>
      <c r="AR301" t="s">
        <v>4397</v>
      </c>
      <c r="AS301" t="s">
        <v>74</v>
      </c>
      <c r="AT301" t="s">
        <v>74</v>
      </c>
      <c r="AU301">
        <v>2004</v>
      </c>
      <c r="AV301">
        <v>39</v>
      </c>
      <c r="AW301" t="s">
        <v>74</v>
      </c>
      <c r="AX301" t="s">
        <v>74</v>
      </c>
      <c r="AY301" t="s">
        <v>74</v>
      </c>
      <c r="AZ301" t="s">
        <v>74</v>
      </c>
      <c r="BA301" t="s">
        <v>74</v>
      </c>
      <c r="BB301">
        <v>231</v>
      </c>
      <c r="BC301">
        <v>237</v>
      </c>
      <c r="BD301" t="s">
        <v>74</v>
      </c>
      <c r="BE301" t="s">
        <v>4782</v>
      </c>
      <c r="BF301" t="str">
        <f>HYPERLINK("http://dx.doi.org/10.3189/172756404781813916","http://dx.doi.org/10.3189/172756404781813916")</f>
        <v>http://dx.doi.org/10.3189/172756404781813916</v>
      </c>
      <c r="BG301" t="s">
        <v>74</v>
      </c>
      <c r="BH301" t="s">
        <v>74</v>
      </c>
      <c r="BI301">
        <v>7</v>
      </c>
      <c r="BJ301" t="s">
        <v>560</v>
      </c>
      <c r="BK301" t="s">
        <v>1116</v>
      </c>
      <c r="BL301" t="s">
        <v>561</v>
      </c>
      <c r="BM301" t="s">
        <v>4399</v>
      </c>
      <c r="BN301" t="s">
        <v>74</v>
      </c>
      <c r="BO301" t="s">
        <v>541</v>
      </c>
      <c r="BP301" t="s">
        <v>74</v>
      </c>
      <c r="BQ301" t="s">
        <v>74</v>
      </c>
      <c r="BR301" t="s">
        <v>99</v>
      </c>
      <c r="BS301" t="s">
        <v>4783</v>
      </c>
      <c r="BT301" t="str">
        <f>HYPERLINK("https%3A%2F%2Fwww.webofscience.com%2Fwos%2Fwoscc%2Ffull-record%2FWOS:000232368400035","View Full Record in Web of Science")</f>
        <v>View Full Record in Web of Science</v>
      </c>
    </row>
    <row r="302" spans="1:72" x14ac:dyDescent="0.15">
      <c r="A302" t="s">
        <v>497</v>
      </c>
      <c r="B302" t="s">
        <v>4784</v>
      </c>
      <c r="C302" t="s">
        <v>74</v>
      </c>
      <c r="D302" t="s">
        <v>4378</v>
      </c>
      <c r="E302" t="s">
        <v>74</v>
      </c>
      <c r="F302" t="s">
        <v>4784</v>
      </c>
      <c r="G302" t="s">
        <v>74</v>
      </c>
      <c r="H302" t="s">
        <v>74</v>
      </c>
      <c r="I302" t="s">
        <v>4785</v>
      </c>
      <c r="J302" t="s">
        <v>4380</v>
      </c>
      <c r="K302" t="s">
        <v>4381</v>
      </c>
      <c r="L302" t="s">
        <v>74</v>
      </c>
      <c r="M302" t="s">
        <v>77</v>
      </c>
      <c r="N302" t="s">
        <v>311</v>
      </c>
      <c r="O302" t="s">
        <v>4382</v>
      </c>
      <c r="P302" t="s">
        <v>4383</v>
      </c>
      <c r="Q302" t="s">
        <v>4384</v>
      </c>
      <c r="R302" t="s">
        <v>74</v>
      </c>
      <c r="S302" t="s">
        <v>4385</v>
      </c>
      <c r="T302" t="s">
        <v>74</v>
      </c>
      <c r="U302" t="s">
        <v>4786</v>
      </c>
      <c r="V302" t="s">
        <v>4787</v>
      </c>
      <c r="W302" t="s">
        <v>4788</v>
      </c>
      <c r="X302" t="s">
        <v>4789</v>
      </c>
      <c r="Y302" t="s">
        <v>4790</v>
      </c>
      <c r="Z302" t="s">
        <v>4791</v>
      </c>
      <c r="AA302" t="s">
        <v>4792</v>
      </c>
      <c r="AB302" t="s">
        <v>74</v>
      </c>
      <c r="AC302" t="s">
        <v>74</v>
      </c>
      <c r="AD302" t="s">
        <v>74</v>
      </c>
      <c r="AE302" t="s">
        <v>74</v>
      </c>
      <c r="AF302" t="s">
        <v>74</v>
      </c>
      <c r="AG302">
        <v>23</v>
      </c>
      <c r="AH302">
        <v>77</v>
      </c>
      <c r="AI302">
        <v>89</v>
      </c>
      <c r="AJ302">
        <v>0</v>
      </c>
      <c r="AK302">
        <v>12</v>
      </c>
      <c r="AL302" t="s">
        <v>4393</v>
      </c>
      <c r="AM302" t="s">
        <v>824</v>
      </c>
      <c r="AN302" t="s">
        <v>4394</v>
      </c>
      <c r="AO302" t="s">
        <v>4395</v>
      </c>
      <c r="AP302" t="s">
        <v>74</v>
      </c>
      <c r="AQ302" t="s">
        <v>4396</v>
      </c>
      <c r="AR302" t="s">
        <v>4397</v>
      </c>
      <c r="AS302" t="s">
        <v>74</v>
      </c>
      <c r="AT302" t="s">
        <v>74</v>
      </c>
      <c r="AU302">
        <v>2004</v>
      </c>
      <c r="AV302">
        <v>39</v>
      </c>
      <c r="AW302" t="s">
        <v>74</v>
      </c>
      <c r="AX302" t="s">
        <v>74</v>
      </c>
      <c r="AY302" t="s">
        <v>74</v>
      </c>
      <c r="AZ302" t="s">
        <v>74</v>
      </c>
      <c r="BA302" t="s">
        <v>74</v>
      </c>
      <c r="BB302">
        <v>238</v>
      </c>
      <c r="BC302">
        <v>244</v>
      </c>
      <c r="BD302" t="s">
        <v>74</v>
      </c>
      <c r="BE302" t="s">
        <v>4793</v>
      </c>
      <c r="BF302" t="str">
        <f>HYPERLINK("http://dx.doi.org/10.3189/172756404781814393","http://dx.doi.org/10.3189/172756404781814393")</f>
        <v>http://dx.doi.org/10.3189/172756404781814393</v>
      </c>
      <c r="BG302" t="s">
        <v>74</v>
      </c>
      <c r="BH302" t="s">
        <v>74</v>
      </c>
      <c r="BI302">
        <v>7</v>
      </c>
      <c r="BJ302" t="s">
        <v>560</v>
      </c>
      <c r="BK302" t="s">
        <v>1116</v>
      </c>
      <c r="BL302" t="s">
        <v>561</v>
      </c>
      <c r="BM302" t="s">
        <v>4399</v>
      </c>
      <c r="BN302" t="s">
        <v>74</v>
      </c>
      <c r="BO302" t="s">
        <v>516</v>
      </c>
      <c r="BP302" t="s">
        <v>74</v>
      </c>
      <c r="BQ302" t="s">
        <v>74</v>
      </c>
      <c r="BR302" t="s">
        <v>99</v>
      </c>
      <c r="BS302" t="s">
        <v>4794</v>
      </c>
      <c r="BT302" t="str">
        <f>HYPERLINK("https%3A%2F%2Fwww.webofscience.com%2Fwos%2Fwoscc%2Ffull-record%2FWOS:000232368400036","View Full Record in Web of Science")</f>
        <v>View Full Record in Web of Science</v>
      </c>
    </row>
    <row r="303" spans="1:72" x14ac:dyDescent="0.15">
      <c r="A303" t="s">
        <v>497</v>
      </c>
      <c r="B303" t="s">
        <v>4795</v>
      </c>
      <c r="C303" t="s">
        <v>74</v>
      </c>
      <c r="D303" t="s">
        <v>4378</v>
      </c>
      <c r="E303" t="s">
        <v>74</v>
      </c>
      <c r="F303" t="s">
        <v>4795</v>
      </c>
      <c r="G303" t="s">
        <v>74</v>
      </c>
      <c r="H303" t="s">
        <v>74</v>
      </c>
      <c r="I303" t="s">
        <v>4796</v>
      </c>
      <c r="J303" t="s">
        <v>4380</v>
      </c>
      <c r="K303" t="s">
        <v>4381</v>
      </c>
      <c r="L303" t="s">
        <v>74</v>
      </c>
      <c r="M303" t="s">
        <v>77</v>
      </c>
      <c r="N303" t="s">
        <v>311</v>
      </c>
      <c r="O303" t="s">
        <v>4382</v>
      </c>
      <c r="P303" t="s">
        <v>4383</v>
      </c>
      <c r="Q303" t="s">
        <v>4384</v>
      </c>
      <c r="R303" t="s">
        <v>74</v>
      </c>
      <c r="S303" t="s">
        <v>4385</v>
      </c>
      <c r="T303" t="s">
        <v>74</v>
      </c>
      <c r="U303" t="s">
        <v>4797</v>
      </c>
      <c r="V303" t="s">
        <v>4798</v>
      </c>
      <c r="W303" t="s">
        <v>4799</v>
      </c>
      <c r="X303" t="s">
        <v>4800</v>
      </c>
      <c r="Y303" t="s">
        <v>4801</v>
      </c>
      <c r="Z303" t="s">
        <v>4802</v>
      </c>
      <c r="AA303" t="s">
        <v>4803</v>
      </c>
      <c r="AB303" t="s">
        <v>74</v>
      </c>
      <c r="AC303" t="s">
        <v>74</v>
      </c>
      <c r="AD303" t="s">
        <v>74</v>
      </c>
      <c r="AE303" t="s">
        <v>74</v>
      </c>
      <c r="AF303" t="s">
        <v>74</v>
      </c>
      <c r="AG303">
        <v>18</v>
      </c>
      <c r="AH303">
        <v>4</v>
      </c>
      <c r="AI303">
        <v>4</v>
      </c>
      <c r="AJ303">
        <v>0</v>
      </c>
      <c r="AK303">
        <v>5</v>
      </c>
      <c r="AL303" t="s">
        <v>4393</v>
      </c>
      <c r="AM303" t="s">
        <v>824</v>
      </c>
      <c r="AN303" t="s">
        <v>4394</v>
      </c>
      <c r="AO303" t="s">
        <v>4395</v>
      </c>
      <c r="AP303" t="s">
        <v>74</v>
      </c>
      <c r="AQ303" t="s">
        <v>4396</v>
      </c>
      <c r="AR303" t="s">
        <v>4397</v>
      </c>
      <c r="AS303" t="s">
        <v>74</v>
      </c>
      <c r="AT303" t="s">
        <v>74</v>
      </c>
      <c r="AU303">
        <v>2004</v>
      </c>
      <c r="AV303">
        <v>39</v>
      </c>
      <c r="AW303" t="s">
        <v>74</v>
      </c>
      <c r="AX303" t="s">
        <v>74</v>
      </c>
      <c r="AY303" t="s">
        <v>74</v>
      </c>
      <c r="AZ303" t="s">
        <v>74</v>
      </c>
      <c r="BA303" t="s">
        <v>74</v>
      </c>
      <c r="BB303">
        <v>245</v>
      </c>
      <c r="BC303">
        <v>250</v>
      </c>
      <c r="BD303" t="s">
        <v>74</v>
      </c>
      <c r="BE303" t="s">
        <v>4804</v>
      </c>
      <c r="BF303" t="str">
        <f>HYPERLINK("http://dx.doi.org/10.3189/172756404781814285","http://dx.doi.org/10.3189/172756404781814285")</f>
        <v>http://dx.doi.org/10.3189/172756404781814285</v>
      </c>
      <c r="BG303" t="s">
        <v>74</v>
      </c>
      <c r="BH303" t="s">
        <v>74</v>
      </c>
      <c r="BI303">
        <v>6</v>
      </c>
      <c r="BJ303" t="s">
        <v>560</v>
      </c>
      <c r="BK303" t="s">
        <v>1116</v>
      </c>
      <c r="BL303" t="s">
        <v>561</v>
      </c>
      <c r="BM303" t="s">
        <v>4399</v>
      </c>
      <c r="BN303" t="s">
        <v>74</v>
      </c>
      <c r="BO303" t="s">
        <v>541</v>
      </c>
      <c r="BP303" t="s">
        <v>74</v>
      </c>
      <c r="BQ303" t="s">
        <v>74</v>
      </c>
      <c r="BR303" t="s">
        <v>99</v>
      </c>
      <c r="BS303" t="s">
        <v>4805</v>
      </c>
      <c r="BT303" t="str">
        <f>HYPERLINK("https%3A%2F%2Fwww.webofscience.com%2Fwos%2Fwoscc%2Ffull-record%2FWOS:000232368400037","View Full Record in Web of Science")</f>
        <v>View Full Record in Web of Science</v>
      </c>
    </row>
    <row r="304" spans="1:72" x14ac:dyDescent="0.15">
      <c r="A304" t="s">
        <v>497</v>
      </c>
      <c r="B304" t="s">
        <v>4806</v>
      </c>
      <c r="C304" t="s">
        <v>74</v>
      </c>
      <c r="D304" t="s">
        <v>4378</v>
      </c>
      <c r="E304" t="s">
        <v>74</v>
      </c>
      <c r="F304" t="s">
        <v>4806</v>
      </c>
      <c r="G304" t="s">
        <v>74</v>
      </c>
      <c r="H304" t="s">
        <v>74</v>
      </c>
      <c r="I304" t="s">
        <v>4807</v>
      </c>
      <c r="J304" t="s">
        <v>4380</v>
      </c>
      <c r="K304" t="s">
        <v>4381</v>
      </c>
      <c r="L304" t="s">
        <v>74</v>
      </c>
      <c r="M304" t="s">
        <v>77</v>
      </c>
      <c r="N304" t="s">
        <v>311</v>
      </c>
      <c r="O304" t="s">
        <v>4382</v>
      </c>
      <c r="P304" t="s">
        <v>4383</v>
      </c>
      <c r="Q304" t="s">
        <v>4384</v>
      </c>
      <c r="R304" t="s">
        <v>74</v>
      </c>
      <c r="S304" t="s">
        <v>4385</v>
      </c>
      <c r="T304" t="s">
        <v>74</v>
      </c>
      <c r="U304" t="s">
        <v>4808</v>
      </c>
      <c r="V304" t="s">
        <v>4809</v>
      </c>
      <c r="W304" t="s">
        <v>4810</v>
      </c>
      <c r="X304" t="s">
        <v>4811</v>
      </c>
      <c r="Y304" t="s">
        <v>4812</v>
      </c>
      <c r="Z304" t="s">
        <v>4813</v>
      </c>
      <c r="AA304" t="s">
        <v>4814</v>
      </c>
      <c r="AB304" t="s">
        <v>4815</v>
      </c>
      <c r="AC304" t="s">
        <v>74</v>
      </c>
      <c r="AD304" t="s">
        <v>74</v>
      </c>
      <c r="AE304" t="s">
        <v>74</v>
      </c>
      <c r="AF304" t="s">
        <v>74</v>
      </c>
      <c r="AG304">
        <v>19</v>
      </c>
      <c r="AH304">
        <v>8</v>
      </c>
      <c r="AI304">
        <v>11</v>
      </c>
      <c r="AJ304">
        <v>1</v>
      </c>
      <c r="AK304">
        <v>10</v>
      </c>
      <c r="AL304" t="s">
        <v>4393</v>
      </c>
      <c r="AM304" t="s">
        <v>824</v>
      </c>
      <c r="AN304" t="s">
        <v>4394</v>
      </c>
      <c r="AO304" t="s">
        <v>4395</v>
      </c>
      <c r="AP304" t="s">
        <v>74</v>
      </c>
      <c r="AQ304" t="s">
        <v>4396</v>
      </c>
      <c r="AR304" t="s">
        <v>4397</v>
      </c>
      <c r="AS304" t="s">
        <v>74</v>
      </c>
      <c r="AT304" t="s">
        <v>74</v>
      </c>
      <c r="AU304">
        <v>2004</v>
      </c>
      <c r="AV304">
        <v>39</v>
      </c>
      <c r="AW304" t="s">
        <v>74</v>
      </c>
      <c r="AX304" t="s">
        <v>74</v>
      </c>
      <c r="AY304" t="s">
        <v>74</v>
      </c>
      <c r="AZ304" t="s">
        <v>74</v>
      </c>
      <c r="BA304" t="s">
        <v>74</v>
      </c>
      <c r="BB304">
        <v>251</v>
      </c>
      <c r="BC304">
        <v>255</v>
      </c>
      <c r="BD304" t="s">
        <v>74</v>
      </c>
      <c r="BE304" t="s">
        <v>4816</v>
      </c>
      <c r="BF304" t="str">
        <f>HYPERLINK("http://dx.doi.org/10.3189/172756404781814159","http://dx.doi.org/10.3189/172756404781814159")</f>
        <v>http://dx.doi.org/10.3189/172756404781814159</v>
      </c>
      <c r="BG304" t="s">
        <v>74</v>
      </c>
      <c r="BH304" t="s">
        <v>74</v>
      </c>
      <c r="BI304">
        <v>5</v>
      </c>
      <c r="BJ304" t="s">
        <v>560</v>
      </c>
      <c r="BK304" t="s">
        <v>1116</v>
      </c>
      <c r="BL304" t="s">
        <v>561</v>
      </c>
      <c r="BM304" t="s">
        <v>4399</v>
      </c>
      <c r="BN304" t="s">
        <v>74</v>
      </c>
      <c r="BO304" t="s">
        <v>516</v>
      </c>
      <c r="BP304" t="s">
        <v>74</v>
      </c>
      <c r="BQ304" t="s">
        <v>74</v>
      </c>
      <c r="BR304" t="s">
        <v>99</v>
      </c>
      <c r="BS304" t="s">
        <v>4817</v>
      </c>
      <c r="BT304" t="str">
        <f>HYPERLINK("https%3A%2F%2Fwww.webofscience.com%2Fwos%2Fwoscc%2Ffull-record%2FWOS:000232368400038","View Full Record in Web of Science")</f>
        <v>View Full Record in Web of Science</v>
      </c>
    </row>
    <row r="305" spans="1:72" x14ac:dyDescent="0.15">
      <c r="A305" t="s">
        <v>497</v>
      </c>
      <c r="B305" t="s">
        <v>4818</v>
      </c>
      <c r="C305" t="s">
        <v>74</v>
      </c>
      <c r="D305" t="s">
        <v>4378</v>
      </c>
      <c r="E305" t="s">
        <v>74</v>
      </c>
      <c r="F305" t="s">
        <v>4818</v>
      </c>
      <c r="G305" t="s">
        <v>74</v>
      </c>
      <c r="H305" t="s">
        <v>74</v>
      </c>
      <c r="I305" t="s">
        <v>4819</v>
      </c>
      <c r="J305" t="s">
        <v>4380</v>
      </c>
      <c r="K305" t="s">
        <v>4381</v>
      </c>
      <c r="L305" t="s">
        <v>74</v>
      </c>
      <c r="M305" t="s">
        <v>77</v>
      </c>
      <c r="N305" t="s">
        <v>311</v>
      </c>
      <c r="O305" t="s">
        <v>4382</v>
      </c>
      <c r="P305" t="s">
        <v>4383</v>
      </c>
      <c r="Q305" t="s">
        <v>4384</v>
      </c>
      <c r="R305" t="s">
        <v>74</v>
      </c>
      <c r="S305" t="s">
        <v>4385</v>
      </c>
      <c r="T305" t="s">
        <v>74</v>
      </c>
      <c r="U305" t="s">
        <v>4820</v>
      </c>
      <c r="V305" t="s">
        <v>4821</v>
      </c>
      <c r="W305" t="s">
        <v>4822</v>
      </c>
      <c r="X305" t="s">
        <v>4823</v>
      </c>
      <c r="Y305" t="s">
        <v>4824</v>
      </c>
      <c r="Z305" t="s">
        <v>4825</v>
      </c>
      <c r="AA305" t="s">
        <v>4826</v>
      </c>
      <c r="AB305" t="s">
        <v>4827</v>
      </c>
      <c r="AC305" t="s">
        <v>74</v>
      </c>
      <c r="AD305" t="s">
        <v>74</v>
      </c>
      <c r="AE305" t="s">
        <v>74</v>
      </c>
      <c r="AF305" t="s">
        <v>74</v>
      </c>
      <c r="AG305">
        <v>38</v>
      </c>
      <c r="AH305">
        <v>13</v>
      </c>
      <c r="AI305">
        <v>13</v>
      </c>
      <c r="AJ305">
        <v>0</v>
      </c>
      <c r="AK305">
        <v>5</v>
      </c>
      <c r="AL305" t="s">
        <v>4393</v>
      </c>
      <c r="AM305" t="s">
        <v>824</v>
      </c>
      <c r="AN305" t="s">
        <v>4394</v>
      </c>
      <c r="AO305" t="s">
        <v>4395</v>
      </c>
      <c r="AP305" t="s">
        <v>74</v>
      </c>
      <c r="AQ305" t="s">
        <v>4396</v>
      </c>
      <c r="AR305" t="s">
        <v>4397</v>
      </c>
      <c r="AS305" t="s">
        <v>74</v>
      </c>
      <c r="AT305" t="s">
        <v>74</v>
      </c>
      <c r="AU305">
        <v>2004</v>
      </c>
      <c r="AV305">
        <v>39</v>
      </c>
      <c r="AW305" t="s">
        <v>74</v>
      </c>
      <c r="AX305" t="s">
        <v>74</v>
      </c>
      <c r="AY305" t="s">
        <v>74</v>
      </c>
      <c r="AZ305" t="s">
        <v>74</v>
      </c>
      <c r="BA305" t="s">
        <v>74</v>
      </c>
      <c r="BB305">
        <v>256</v>
      </c>
      <c r="BC305">
        <v>264</v>
      </c>
      <c r="BD305" t="s">
        <v>74</v>
      </c>
      <c r="BE305" t="s">
        <v>4828</v>
      </c>
      <c r="BF305" t="str">
        <f>HYPERLINK("http://dx.doi.org/10.3189/172756404781814131","http://dx.doi.org/10.3189/172756404781814131")</f>
        <v>http://dx.doi.org/10.3189/172756404781814131</v>
      </c>
      <c r="BG305" t="s">
        <v>74</v>
      </c>
      <c r="BH305" t="s">
        <v>74</v>
      </c>
      <c r="BI305">
        <v>9</v>
      </c>
      <c r="BJ305" t="s">
        <v>560</v>
      </c>
      <c r="BK305" t="s">
        <v>1116</v>
      </c>
      <c r="BL305" t="s">
        <v>561</v>
      </c>
      <c r="BM305" t="s">
        <v>4399</v>
      </c>
      <c r="BN305" t="s">
        <v>74</v>
      </c>
      <c r="BO305" t="s">
        <v>516</v>
      </c>
      <c r="BP305" t="s">
        <v>74</v>
      </c>
      <c r="BQ305" t="s">
        <v>74</v>
      </c>
      <c r="BR305" t="s">
        <v>99</v>
      </c>
      <c r="BS305" t="s">
        <v>4829</v>
      </c>
      <c r="BT305" t="str">
        <f>HYPERLINK("https%3A%2F%2Fwww.webofscience.com%2Fwos%2Fwoscc%2Ffull-record%2FWOS:000232368400039","View Full Record in Web of Science")</f>
        <v>View Full Record in Web of Science</v>
      </c>
    </row>
    <row r="306" spans="1:72" x14ac:dyDescent="0.15">
      <c r="A306" t="s">
        <v>497</v>
      </c>
      <c r="B306" t="s">
        <v>4830</v>
      </c>
      <c r="C306" t="s">
        <v>74</v>
      </c>
      <c r="D306" t="s">
        <v>4378</v>
      </c>
      <c r="E306" t="s">
        <v>74</v>
      </c>
      <c r="F306" t="s">
        <v>4830</v>
      </c>
      <c r="G306" t="s">
        <v>74</v>
      </c>
      <c r="H306" t="s">
        <v>74</v>
      </c>
      <c r="I306" t="s">
        <v>4831</v>
      </c>
      <c r="J306" t="s">
        <v>4380</v>
      </c>
      <c r="K306" t="s">
        <v>4381</v>
      </c>
      <c r="L306" t="s">
        <v>74</v>
      </c>
      <c r="M306" t="s">
        <v>77</v>
      </c>
      <c r="N306" t="s">
        <v>311</v>
      </c>
      <c r="O306" t="s">
        <v>4382</v>
      </c>
      <c r="P306" t="s">
        <v>4383</v>
      </c>
      <c r="Q306" t="s">
        <v>4384</v>
      </c>
      <c r="R306" t="s">
        <v>74</v>
      </c>
      <c r="S306" t="s">
        <v>4385</v>
      </c>
      <c r="T306" t="s">
        <v>74</v>
      </c>
      <c r="U306" t="s">
        <v>4832</v>
      </c>
      <c r="V306" t="s">
        <v>4833</v>
      </c>
      <c r="W306" t="s">
        <v>4834</v>
      </c>
      <c r="X306" t="s">
        <v>1966</v>
      </c>
      <c r="Y306" t="s">
        <v>4835</v>
      </c>
      <c r="Z306" t="s">
        <v>4836</v>
      </c>
      <c r="AA306" t="s">
        <v>4837</v>
      </c>
      <c r="AB306" t="s">
        <v>4838</v>
      </c>
      <c r="AC306" t="s">
        <v>74</v>
      </c>
      <c r="AD306" t="s">
        <v>74</v>
      </c>
      <c r="AE306" t="s">
        <v>74</v>
      </c>
      <c r="AF306" t="s">
        <v>74</v>
      </c>
      <c r="AG306">
        <v>22</v>
      </c>
      <c r="AH306">
        <v>28</v>
      </c>
      <c r="AI306">
        <v>32</v>
      </c>
      <c r="AJ306">
        <v>0</v>
      </c>
      <c r="AK306">
        <v>5</v>
      </c>
      <c r="AL306" t="s">
        <v>4393</v>
      </c>
      <c r="AM306" t="s">
        <v>824</v>
      </c>
      <c r="AN306" t="s">
        <v>4394</v>
      </c>
      <c r="AO306" t="s">
        <v>4395</v>
      </c>
      <c r="AP306" t="s">
        <v>74</v>
      </c>
      <c r="AQ306" t="s">
        <v>4396</v>
      </c>
      <c r="AR306" t="s">
        <v>4397</v>
      </c>
      <c r="AS306" t="s">
        <v>74</v>
      </c>
      <c r="AT306" t="s">
        <v>74</v>
      </c>
      <c r="AU306">
        <v>2004</v>
      </c>
      <c r="AV306">
        <v>39</v>
      </c>
      <c r="AW306" t="s">
        <v>74</v>
      </c>
      <c r="AX306" t="s">
        <v>74</v>
      </c>
      <c r="AY306" t="s">
        <v>74</v>
      </c>
      <c r="AZ306" t="s">
        <v>74</v>
      </c>
      <c r="BA306" t="s">
        <v>74</v>
      </c>
      <c r="BB306">
        <v>265</v>
      </c>
      <c r="BC306">
        <v>270</v>
      </c>
      <c r="BD306" t="s">
        <v>74</v>
      </c>
      <c r="BE306" t="s">
        <v>4839</v>
      </c>
      <c r="BF306" t="str">
        <f>HYPERLINK("http://dx.doi.org/10.3189/172756404781814618","http://dx.doi.org/10.3189/172756404781814618")</f>
        <v>http://dx.doi.org/10.3189/172756404781814618</v>
      </c>
      <c r="BG306" t="s">
        <v>74</v>
      </c>
      <c r="BH306" t="s">
        <v>74</v>
      </c>
      <c r="BI306">
        <v>6</v>
      </c>
      <c r="BJ306" t="s">
        <v>560</v>
      </c>
      <c r="BK306" t="s">
        <v>1116</v>
      </c>
      <c r="BL306" t="s">
        <v>561</v>
      </c>
      <c r="BM306" t="s">
        <v>4399</v>
      </c>
      <c r="BN306" t="s">
        <v>74</v>
      </c>
      <c r="BO306" t="s">
        <v>516</v>
      </c>
      <c r="BP306" t="s">
        <v>74</v>
      </c>
      <c r="BQ306" t="s">
        <v>74</v>
      </c>
      <c r="BR306" t="s">
        <v>99</v>
      </c>
      <c r="BS306" t="s">
        <v>4840</v>
      </c>
      <c r="BT306" t="str">
        <f>HYPERLINK("https%3A%2F%2Fwww.webofscience.com%2Fwos%2Fwoscc%2Ffull-record%2FWOS:000232368400040","View Full Record in Web of Science")</f>
        <v>View Full Record in Web of Science</v>
      </c>
    </row>
    <row r="307" spans="1:72" x14ac:dyDescent="0.15">
      <c r="A307" t="s">
        <v>497</v>
      </c>
      <c r="B307" t="s">
        <v>4841</v>
      </c>
      <c r="C307" t="s">
        <v>74</v>
      </c>
      <c r="D307" t="s">
        <v>4378</v>
      </c>
      <c r="E307" t="s">
        <v>74</v>
      </c>
      <c r="F307" t="s">
        <v>4841</v>
      </c>
      <c r="G307" t="s">
        <v>74</v>
      </c>
      <c r="H307" t="s">
        <v>74</v>
      </c>
      <c r="I307" t="s">
        <v>4842</v>
      </c>
      <c r="J307" t="s">
        <v>4380</v>
      </c>
      <c r="K307" t="s">
        <v>4381</v>
      </c>
      <c r="L307" t="s">
        <v>74</v>
      </c>
      <c r="M307" t="s">
        <v>77</v>
      </c>
      <c r="N307" t="s">
        <v>311</v>
      </c>
      <c r="O307" t="s">
        <v>4382</v>
      </c>
      <c r="P307" t="s">
        <v>4383</v>
      </c>
      <c r="Q307" t="s">
        <v>4384</v>
      </c>
      <c r="R307" t="s">
        <v>74</v>
      </c>
      <c r="S307" t="s">
        <v>4385</v>
      </c>
      <c r="T307" t="s">
        <v>74</v>
      </c>
      <c r="U307" t="s">
        <v>4843</v>
      </c>
      <c r="V307" t="s">
        <v>4844</v>
      </c>
      <c r="W307" t="s">
        <v>4845</v>
      </c>
      <c r="X307" t="s">
        <v>4846</v>
      </c>
      <c r="Y307" t="s">
        <v>4847</v>
      </c>
      <c r="Z307" t="s">
        <v>4848</v>
      </c>
      <c r="AA307" t="s">
        <v>74</v>
      </c>
      <c r="AB307" t="s">
        <v>74</v>
      </c>
      <c r="AC307" t="s">
        <v>74</v>
      </c>
      <c r="AD307" t="s">
        <v>74</v>
      </c>
      <c r="AE307" t="s">
        <v>74</v>
      </c>
      <c r="AF307" t="s">
        <v>74</v>
      </c>
      <c r="AG307">
        <v>18</v>
      </c>
      <c r="AH307">
        <v>6</v>
      </c>
      <c r="AI307">
        <v>6</v>
      </c>
      <c r="AJ307">
        <v>0</v>
      </c>
      <c r="AK307">
        <v>1</v>
      </c>
      <c r="AL307" t="s">
        <v>4393</v>
      </c>
      <c r="AM307" t="s">
        <v>824</v>
      </c>
      <c r="AN307" t="s">
        <v>4394</v>
      </c>
      <c r="AO307" t="s">
        <v>4395</v>
      </c>
      <c r="AP307" t="s">
        <v>74</v>
      </c>
      <c r="AQ307" t="s">
        <v>4396</v>
      </c>
      <c r="AR307" t="s">
        <v>4397</v>
      </c>
      <c r="AS307" t="s">
        <v>74</v>
      </c>
      <c r="AT307" t="s">
        <v>74</v>
      </c>
      <c r="AU307">
        <v>2004</v>
      </c>
      <c r="AV307">
        <v>39</v>
      </c>
      <c r="AW307" t="s">
        <v>74</v>
      </c>
      <c r="AX307" t="s">
        <v>74</v>
      </c>
      <c r="AY307" t="s">
        <v>74</v>
      </c>
      <c r="AZ307" t="s">
        <v>74</v>
      </c>
      <c r="BA307" t="s">
        <v>74</v>
      </c>
      <c r="BB307">
        <v>271</v>
      </c>
      <c r="BC307">
        <v>275</v>
      </c>
      <c r="BD307" t="s">
        <v>74</v>
      </c>
      <c r="BE307" t="s">
        <v>4849</v>
      </c>
      <c r="BF307" t="str">
        <f>HYPERLINK("http://dx.doi.org/10.3189/172756404781814294","http://dx.doi.org/10.3189/172756404781814294")</f>
        <v>http://dx.doi.org/10.3189/172756404781814294</v>
      </c>
      <c r="BG307" t="s">
        <v>74</v>
      </c>
      <c r="BH307" t="s">
        <v>74</v>
      </c>
      <c r="BI307">
        <v>5</v>
      </c>
      <c r="BJ307" t="s">
        <v>560</v>
      </c>
      <c r="BK307" t="s">
        <v>1116</v>
      </c>
      <c r="BL307" t="s">
        <v>561</v>
      </c>
      <c r="BM307" t="s">
        <v>4399</v>
      </c>
      <c r="BN307" t="s">
        <v>74</v>
      </c>
      <c r="BO307" t="s">
        <v>541</v>
      </c>
      <c r="BP307" t="s">
        <v>74</v>
      </c>
      <c r="BQ307" t="s">
        <v>74</v>
      </c>
      <c r="BR307" t="s">
        <v>99</v>
      </c>
      <c r="BS307" t="s">
        <v>4850</v>
      </c>
      <c r="BT307" t="str">
        <f>HYPERLINK("https%3A%2F%2Fwww.webofscience.com%2Fwos%2Fwoscc%2Ffull-record%2FWOS:000232368400041","View Full Record in Web of Science")</f>
        <v>View Full Record in Web of Science</v>
      </c>
    </row>
    <row r="308" spans="1:72" x14ac:dyDescent="0.15">
      <c r="A308" t="s">
        <v>497</v>
      </c>
      <c r="B308" t="s">
        <v>4851</v>
      </c>
      <c r="C308" t="s">
        <v>74</v>
      </c>
      <c r="D308" t="s">
        <v>4378</v>
      </c>
      <c r="E308" t="s">
        <v>74</v>
      </c>
      <c r="F308" t="s">
        <v>4851</v>
      </c>
      <c r="G308" t="s">
        <v>74</v>
      </c>
      <c r="H308" t="s">
        <v>74</v>
      </c>
      <c r="I308" t="s">
        <v>4852</v>
      </c>
      <c r="J308" t="s">
        <v>4380</v>
      </c>
      <c r="K308" t="s">
        <v>4381</v>
      </c>
      <c r="L308" t="s">
        <v>74</v>
      </c>
      <c r="M308" t="s">
        <v>77</v>
      </c>
      <c r="N308" t="s">
        <v>311</v>
      </c>
      <c r="O308" t="s">
        <v>4382</v>
      </c>
      <c r="P308" t="s">
        <v>4383</v>
      </c>
      <c r="Q308" t="s">
        <v>4384</v>
      </c>
      <c r="R308" t="s">
        <v>74</v>
      </c>
      <c r="S308" t="s">
        <v>4385</v>
      </c>
      <c r="T308" t="s">
        <v>74</v>
      </c>
      <c r="U308" t="s">
        <v>4853</v>
      </c>
      <c r="V308" t="s">
        <v>4854</v>
      </c>
      <c r="W308" t="s">
        <v>81</v>
      </c>
      <c r="X308" t="s">
        <v>82</v>
      </c>
      <c r="Y308" t="s">
        <v>2464</v>
      </c>
      <c r="Z308" t="s">
        <v>4855</v>
      </c>
      <c r="AA308" t="s">
        <v>4856</v>
      </c>
      <c r="AB308" t="s">
        <v>4857</v>
      </c>
      <c r="AC308" t="s">
        <v>1435</v>
      </c>
      <c r="AD308" t="s">
        <v>1436</v>
      </c>
      <c r="AE308" t="s">
        <v>74</v>
      </c>
      <c r="AF308" t="s">
        <v>74</v>
      </c>
      <c r="AG308">
        <v>38</v>
      </c>
      <c r="AH308">
        <v>18</v>
      </c>
      <c r="AI308">
        <v>19</v>
      </c>
      <c r="AJ308">
        <v>0</v>
      </c>
      <c r="AK308">
        <v>10</v>
      </c>
      <c r="AL308" t="s">
        <v>4393</v>
      </c>
      <c r="AM308" t="s">
        <v>824</v>
      </c>
      <c r="AN308" t="s">
        <v>4394</v>
      </c>
      <c r="AO308" t="s">
        <v>4395</v>
      </c>
      <c r="AP308" t="s">
        <v>74</v>
      </c>
      <c r="AQ308" t="s">
        <v>4396</v>
      </c>
      <c r="AR308" t="s">
        <v>4397</v>
      </c>
      <c r="AS308" t="s">
        <v>74</v>
      </c>
      <c r="AT308" t="s">
        <v>74</v>
      </c>
      <c r="AU308">
        <v>2004</v>
      </c>
      <c r="AV308">
        <v>39</v>
      </c>
      <c r="AW308" t="s">
        <v>74</v>
      </c>
      <c r="AX308" t="s">
        <v>74</v>
      </c>
      <c r="AY308" t="s">
        <v>74</v>
      </c>
      <c r="AZ308" t="s">
        <v>74</v>
      </c>
      <c r="BA308" t="s">
        <v>74</v>
      </c>
      <c r="BB308">
        <v>276</v>
      </c>
      <c r="BC308">
        <v>282</v>
      </c>
      <c r="BD308" t="s">
        <v>74</v>
      </c>
      <c r="BE308" t="s">
        <v>4858</v>
      </c>
      <c r="BF308" t="str">
        <f>HYPERLINK("http://dx.doi.org/10.3189/172756404781814681","http://dx.doi.org/10.3189/172756404781814681")</f>
        <v>http://dx.doi.org/10.3189/172756404781814681</v>
      </c>
      <c r="BG308" t="s">
        <v>74</v>
      </c>
      <c r="BH308" t="s">
        <v>74</v>
      </c>
      <c r="BI308">
        <v>7</v>
      </c>
      <c r="BJ308" t="s">
        <v>560</v>
      </c>
      <c r="BK308" t="s">
        <v>1116</v>
      </c>
      <c r="BL308" t="s">
        <v>561</v>
      </c>
      <c r="BM308" t="s">
        <v>4399</v>
      </c>
      <c r="BN308" t="s">
        <v>74</v>
      </c>
      <c r="BO308" t="s">
        <v>541</v>
      </c>
      <c r="BP308" t="s">
        <v>74</v>
      </c>
      <c r="BQ308" t="s">
        <v>74</v>
      </c>
      <c r="BR308" t="s">
        <v>99</v>
      </c>
      <c r="BS308" t="s">
        <v>4859</v>
      </c>
      <c r="BT308" t="str">
        <f>HYPERLINK("https%3A%2F%2Fwww.webofscience.com%2Fwos%2Fwoscc%2Ffull-record%2FWOS:000232368400042","View Full Record in Web of Science")</f>
        <v>View Full Record in Web of Science</v>
      </c>
    </row>
    <row r="309" spans="1:72" x14ac:dyDescent="0.15">
      <c r="A309" t="s">
        <v>497</v>
      </c>
      <c r="B309" t="s">
        <v>4860</v>
      </c>
      <c r="C309" t="s">
        <v>74</v>
      </c>
      <c r="D309" t="s">
        <v>4378</v>
      </c>
      <c r="E309" t="s">
        <v>74</v>
      </c>
      <c r="F309" t="s">
        <v>4860</v>
      </c>
      <c r="G309" t="s">
        <v>74</v>
      </c>
      <c r="H309" t="s">
        <v>74</v>
      </c>
      <c r="I309" t="s">
        <v>4861</v>
      </c>
      <c r="J309" t="s">
        <v>4380</v>
      </c>
      <c r="K309" t="s">
        <v>4381</v>
      </c>
      <c r="L309" t="s">
        <v>74</v>
      </c>
      <c r="M309" t="s">
        <v>77</v>
      </c>
      <c r="N309" t="s">
        <v>311</v>
      </c>
      <c r="O309" t="s">
        <v>4382</v>
      </c>
      <c r="P309" t="s">
        <v>4383</v>
      </c>
      <c r="Q309" t="s">
        <v>4384</v>
      </c>
      <c r="R309" t="s">
        <v>74</v>
      </c>
      <c r="S309" t="s">
        <v>4385</v>
      </c>
      <c r="T309" t="s">
        <v>74</v>
      </c>
      <c r="U309" t="s">
        <v>4862</v>
      </c>
      <c r="V309" t="s">
        <v>4863</v>
      </c>
      <c r="W309" t="s">
        <v>4864</v>
      </c>
      <c r="X309" t="s">
        <v>4865</v>
      </c>
      <c r="Y309" t="s">
        <v>4866</v>
      </c>
      <c r="Z309" t="s">
        <v>4867</v>
      </c>
      <c r="AA309" t="s">
        <v>4868</v>
      </c>
      <c r="AB309" t="s">
        <v>4869</v>
      </c>
      <c r="AC309" t="s">
        <v>74</v>
      </c>
      <c r="AD309" t="s">
        <v>74</v>
      </c>
      <c r="AE309" t="s">
        <v>74</v>
      </c>
      <c r="AF309" t="s">
        <v>74</v>
      </c>
      <c r="AG309">
        <v>40</v>
      </c>
      <c r="AH309">
        <v>14</v>
      </c>
      <c r="AI309">
        <v>18</v>
      </c>
      <c r="AJ309">
        <v>0</v>
      </c>
      <c r="AK309">
        <v>5</v>
      </c>
      <c r="AL309" t="s">
        <v>4393</v>
      </c>
      <c r="AM309" t="s">
        <v>824</v>
      </c>
      <c r="AN309" t="s">
        <v>4394</v>
      </c>
      <c r="AO309" t="s">
        <v>4395</v>
      </c>
      <c r="AP309" t="s">
        <v>74</v>
      </c>
      <c r="AQ309" t="s">
        <v>4396</v>
      </c>
      <c r="AR309" t="s">
        <v>4397</v>
      </c>
      <c r="AS309" t="s">
        <v>74</v>
      </c>
      <c r="AT309" t="s">
        <v>74</v>
      </c>
      <c r="AU309">
        <v>2004</v>
      </c>
      <c r="AV309">
        <v>39</v>
      </c>
      <c r="AW309" t="s">
        <v>74</v>
      </c>
      <c r="AX309" t="s">
        <v>74</v>
      </c>
      <c r="AY309" t="s">
        <v>74</v>
      </c>
      <c r="AZ309" t="s">
        <v>74</v>
      </c>
      <c r="BA309" t="s">
        <v>74</v>
      </c>
      <c r="BB309">
        <v>283</v>
      </c>
      <c r="BC309">
        <v>292</v>
      </c>
      <c r="BD309" t="s">
        <v>74</v>
      </c>
      <c r="BE309" t="s">
        <v>4870</v>
      </c>
      <c r="BF309" t="str">
        <f>HYPERLINK("http://dx.doi.org/10.3189/172756404781814023","http://dx.doi.org/10.3189/172756404781814023")</f>
        <v>http://dx.doi.org/10.3189/172756404781814023</v>
      </c>
      <c r="BG309" t="s">
        <v>74</v>
      </c>
      <c r="BH309" t="s">
        <v>74</v>
      </c>
      <c r="BI309">
        <v>10</v>
      </c>
      <c r="BJ309" t="s">
        <v>560</v>
      </c>
      <c r="BK309" t="s">
        <v>1116</v>
      </c>
      <c r="BL309" t="s">
        <v>561</v>
      </c>
      <c r="BM309" t="s">
        <v>4399</v>
      </c>
      <c r="BN309" t="s">
        <v>74</v>
      </c>
      <c r="BO309" t="s">
        <v>286</v>
      </c>
      <c r="BP309" t="s">
        <v>74</v>
      </c>
      <c r="BQ309" t="s">
        <v>74</v>
      </c>
      <c r="BR309" t="s">
        <v>99</v>
      </c>
      <c r="BS309" t="s">
        <v>4871</v>
      </c>
      <c r="BT309" t="str">
        <f>HYPERLINK("https%3A%2F%2Fwww.webofscience.com%2Fwos%2Fwoscc%2Ffull-record%2FWOS:000232368400043","View Full Record in Web of Science")</f>
        <v>View Full Record in Web of Science</v>
      </c>
    </row>
    <row r="310" spans="1:72" x14ac:dyDescent="0.15">
      <c r="A310" t="s">
        <v>497</v>
      </c>
      <c r="B310" t="s">
        <v>4872</v>
      </c>
      <c r="C310" t="s">
        <v>74</v>
      </c>
      <c r="D310" t="s">
        <v>4378</v>
      </c>
      <c r="E310" t="s">
        <v>74</v>
      </c>
      <c r="F310" t="s">
        <v>4872</v>
      </c>
      <c r="G310" t="s">
        <v>74</v>
      </c>
      <c r="H310" t="s">
        <v>74</v>
      </c>
      <c r="I310" t="s">
        <v>4873</v>
      </c>
      <c r="J310" t="s">
        <v>4380</v>
      </c>
      <c r="K310" t="s">
        <v>4381</v>
      </c>
      <c r="L310" t="s">
        <v>74</v>
      </c>
      <c r="M310" t="s">
        <v>77</v>
      </c>
      <c r="N310" t="s">
        <v>311</v>
      </c>
      <c r="O310" t="s">
        <v>4382</v>
      </c>
      <c r="P310" t="s">
        <v>4383</v>
      </c>
      <c r="Q310" t="s">
        <v>4384</v>
      </c>
      <c r="R310" t="s">
        <v>74</v>
      </c>
      <c r="S310" t="s">
        <v>4385</v>
      </c>
      <c r="T310" t="s">
        <v>74</v>
      </c>
      <c r="U310" t="s">
        <v>4874</v>
      </c>
      <c r="V310" t="s">
        <v>4875</v>
      </c>
      <c r="W310" t="s">
        <v>4876</v>
      </c>
      <c r="X310" t="s">
        <v>4877</v>
      </c>
      <c r="Y310" t="s">
        <v>4878</v>
      </c>
      <c r="Z310" t="s">
        <v>4879</v>
      </c>
      <c r="AA310" t="s">
        <v>4880</v>
      </c>
      <c r="AB310" t="s">
        <v>4881</v>
      </c>
      <c r="AC310" t="s">
        <v>74</v>
      </c>
      <c r="AD310" t="s">
        <v>74</v>
      </c>
      <c r="AE310" t="s">
        <v>74</v>
      </c>
      <c r="AF310" t="s">
        <v>74</v>
      </c>
      <c r="AG310">
        <v>35</v>
      </c>
      <c r="AH310">
        <v>12</v>
      </c>
      <c r="AI310">
        <v>14</v>
      </c>
      <c r="AJ310">
        <v>0</v>
      </c>
      <c r="AK310">
        <v>2</v>
      </c>
      <c r="AL310" t="s">
        <v>4393</v>
      </c>
      <c r="AM310" t="s">
        <v>824</v>
      </c>
      <c r="AN310" t="s">
        <v>4394</v>
      </c>
      <c r="AO310" t="s">
        <v>4395</v>
      </c>
      <c r="AP310" t="s">
        <v>74</v>
      </c>
      <c r="AQ310" t="s">
        <v>4396</v>
      </c>
      <c r="AR310" t="s">
        <v>4397</v>
      </c>
      <c r="AS310" t="s">
        <v>74</v>
      </c>
      <c r="AT310" t="s">
        <v>74</v>
      </c>
      <c r="AU310">
        <v>2004</v>
      </c>
      <c r="AV310">
        <v>39</v>
      </c>
      <c r="AW310" t="s">
        <v>74</v>
      </c>
      <c r="AX310" t="s">
        <v>74</v>
      </c>
      <c r="AY310" t="s">
        <v>74</v>
      </c>
      <c r="AZ310" t="s">
        <v>74</v>
      </c>
      <c r="BA310" t="s">
        <v>74</v>
      </c>
      <c r="BB310">
        <v>293</v>
      </c>
      <c r="BC310">
        <v>299</v>
      </c>
      <c r="BD310" t="s">
        <v>74</v>
      </c>
      <c r="BE310" t="s">
        <v>4882</v>
      </c>
      <c r="BF310" t="str">
        <f>HYPERLINK("http://dx.doi.org/10.3189/172756404781814230","http://dx.doi.org/10.3189/172756404781814230")</f>
        <v>http://dx.doi.org/10.3189/172756404781814230</v>
      </c>
      <c r="BG310" t="s">
        <v>74</v>
      </c>
      <c r="BH310" t="s">
        <v>74</v>
      </c>
      <c r="BI310">
        <v>7</v>
      </c>
      <c r="BJ310" t="s">
        <v>560</v>
      </c>
      <c r="BK310" t="s">
        <v>1116</v>
      </c>
      <c r="BL310" t="s">
        <v>561</v>
      </c>
      <c r="BM310" t="s">
        <v>4399</v>
      </c>
      <c r="BN310" t="s">
        <v>74</v>
      </c>
      <c r="BO310" t="s">
        <v>286</v>
      </c>
      <c r="BP310" t="s">
        <v>74</v>
      </c>
      <c r="BQ310" t="s">
        <v>74</v>
      </c>
      <c r="BR310" t="s">
        <v>99</v>
      </c>
      <c r="BS310" t="s">
        <v>4883</v>
      </c>
      <c r="BT310" t="str">
        <f>HYPERLINK("https%3A%2F%2Fwww.webofscience.com%2Fwos%2Fwoscc%2Ffull-record%2FWOS:000232368400044","View Full Record in Web of Science")</f>
        <v>View Full Record in Web of Science</v>
      </c>
    </row>
    <row r="311" spans="1:72" x14ac:dyDescent="0.15">
      <c r="A311" t="s">
        <v>497</v>
      </c>
      <c r="B311" t="s">
        <v>4884</v>
      </c>
      <c r="C311" t="s">
        <v>74</v>
      </c>
      <c r="D311" t="s">
        <v>4378</v>
      </c>
      <c r="E311" t="s">
        <v>74</v>
      </c>
      <c r="F311" t="s">
        <v>4884</v>
      </c>
      <c r="G311" t="s">
        <v>74</v>
      </c>
      <c r="H311" t="s">
        <v>74</v>
      </c>
      <c r="I311" t="s">
        <v>4885</v>
      </c>
      <c r="J311" t="s">
        <v>4380</v>
      </c>
      <c r="K311" t="s">
        <v>4381</v>
      </c>
      <c r="L311" t="s">
        <v>74</v>
      </c>
      <c r="M311" t="s">
        <v>77</v>
      </c>
      <c r="N311" t="s">
        <v>311</v>
      </c>
      <c r="O311" t="s">
        <v>4382</v>
      </c>
      <c r="P311" t="s">
        <v>4383</v>
      </c>
      <c r="Q311" t="s">
        <v>4384</v>
      </c>
      <c r="R311" t="s">
        <v>74</v>
      </c>
      <c r="S311" t="s">
        <v>4385</v>
      </c>
      <c r="T311" t="s">
        <v>74</v>
      </c>
      <c r="U311" t="s">
        <v>4886</v>
      </c>
      <c r="V311" t="s">
        <v>4887</v>
      </c>
      <c r="W311" t="s">
        <v>4888</v>
      </c>
      <c r="X311" t="s">
        <v>4889</v>
      </c>
      <c r="Y311" t="s">
        <v>4890</v>
      </c>
      <c r="Z311" t="s">
        <v>4891</v>
      </c>
      <c r="AA311" t="s">
        <v>4892</v>
      </c>
      <c r="AB311" t="s">
        <v>4893</v>
      </c>
      <c r="AC311" t="s">
        <v>74</v>
      </c>
      <c r="AD311" t="s">
        <v>74</v>
      </c>
      <c r="AE311" t="s">
        <v>74</v>
      </c>
      <c r="AF311" t="s">
        <v>74</v>
      </c>
      <c r="AG311">
        <v>34</v>
      </c>
      <c r="AH311">
        <v>10</v>
      </c>
      <c r="AI311">
        <v>12</v>
      </c>
      <c r="AJ311">
        <v>0</v>
      </c>
      <c r="AK311">
        <v>18</v>
      </c>
      <c r="AL311" t="s">
        <v>4393</v>
      </c>
      <c r="AM311" t="s">
        <v>824</v>
      </c>
      <c r="AN311" t="s">
        <v>4394</v>
      </c>
      <c r="AO311" t="s">
        <v>4395</v>
      </c>
      <c r="AP311" t="s">
        <v>74</v>
      </c>
      <c r="AQ311" t="s">
        <v>4396</v>
      </c>
      <c r="AR311" t="s">
        <v>4397</v>
      </c>
      <c r="AS311" t="s">
        <v>74</v>
      </c>
      <c r="AT311" t="s">
        <v>74</v>
      </c>
      <c r="AU311">
        <v>2004</v>
      </c>
      <c r="AV311">
        <v>39</v>
      </c>
      <c r="AW311" t="s">
        <v>74</v>
      </c>
      <c r="AX311" t="s">
        <v>74</v>
      </c>
      <c r="AY311" t="s">
        <v>74</v>
      </c>
      <c r="AZ311" t="s">
        <v>74</v>
      </c>
      <c r="BA311" t="s">
        <v>74</v>
      </c>
      <c r="BB311">
        <v>300</v>
      </c>
      <c r="BC311">
        <v>306</v>
      </c>
      <c r="BD311" t="s">
        <v>74</v>
      </c>
      <c r="BE311" t="s">
        <v>4894</v>
      </c>
      <c r="BF311" t="str">
        <f>HYPERLINK("http://dx.doi.org/10.3189/172756404781814438","http://dx.doi.org/10.3189/172756404781814438")</f>
        <v>http://dx.doi.org/10.3189/172756404781814438</v>
      </c>
      <c r="BG311" t="s">
        <v>74</v>
      </c>
      <c r="BH311" t="s">
        <v>74</v>
      </c>
      <c r="BI311">
        <v>7</v>
      </c>
      <c r="BJ311" t="s">
        <v>560</v>
      </c>
      <c r="BK311" t="s">
        <v>1116</v>
      </c>
      <c r="BL311" t="s">
        <v>561</v>
      </c>
      <c r="BM311" t="s">
        <v>4399</v>
      </c>
      <c r="BN311" t="s">
        <v>74</v>
      </c>
      <c r="BO311" t="s">
        <v>286</v>
      </c>
      <c r="BP311" t="s">
        <v>74</v>
      </c>
      <c r="BQ311" t="s">
        <v>74</v>
      </c>
      <c r="BR311" t="s">
        <v>99</v>
      </c>
      <c r="BS311" t="s">
        <v>4895</v>
      </c>
      <c r="BT311" t="str">
        <f>HYPERLINK("https%3A%2F%2Fwww.webofscience.com%2Fwos%2Fwoscc%2Ffull-record%2FWOS:000232368400045","View Full Record in Web of Science")</f>
        <v>View Full Record in Web of Science</v>
      </c>
    </row>
    <row r="312" spans="1:72" x14ac:dyDescent="0.15">
      <c r="A312" t="s">
        <v>497</v>
      </c>
      <c r="B312" t="s">
        <v>4896</v>
      </c>
      <c r="C312" t="s">
        <v>74</v>
      </c>
      <c r="D312" t="s">
        <v>4378</v>
      </c>
      <c r="E312" t="s">
        <v>74</v>
      </c>
      <c r="F312" t="s">
        <v>4896</v>
      </c>
      <c r="G312" t="s">
        <v>74</v>
      </c>
      <c r="H312" t="s">
        <v>74</v>
      </c>
      <c r="I312" t="s">
        <v>4897</v>
      </c>
      <c r="J312" t="s">
        <v>4380</v>
      </c>
      <c r="K312" t="s">
        <v>4381</v>
      </c>
      <c r="L312" t="s">
        <v>74</v>
      </c>
      <c r="M312" t="s">
        <v>77</v>
      </c>
      <c r="N312" t="s">
        <v>311</v>
      </c>
      <c r="O312" t="s">
        <v>4382</v>
      </c>
      <c r="P312" t="s">
        <v>4383</v>
      </c>
      <c r="Q312" t="s">
        <v>4384</v>
      </c>
      <c r="R312" t="s">
        <v>74</v>
      </c>
      <c r="S312" t="s">
        <v>4385</v>
      </c>
      <c r="T312" t="s">
        <v>74</v>
      </c>
      <c r="U312" t="s">
        <v>4898</v>
      </c>
      <c r="V312" t="s">
        <v>4899</v>
      </c>
      <c r="W312" t="s">
        <v>4900</v>
      </c>
      <c r="X312" t="s">
        <v>4901</v>
      </c>
      <c r="Y312" t="s">
        <v>4902</v>
      </c>
      <c r="Z312" t="s">
        <v>4903</v>
      </c>
      <c r="AA312" t="s">
        <v>4904</v>
      </c>
      <c r="AB312" t="s">
        <v>4905</v>
      </c>
      <c r="AC312" t="s">
        <v>74</v>
      </c>
      <c r="AD312" t="s">
        <v>74</v>
      </c>
      <c r="AE312" t="s">
        <v>74</v>
      </c>
      <c r="AF312" t="s">
        <v>74</v>
      </c>
      <c r="AG312">
        <v>22</v>
      </c>
      <c r="AH312">
        <v>29</v>
      </c>
      <c r="AI312">
        <v>31</v>
      </c>
      <c r="AJ312">
        <v>6</v>
      </c>
      <c r="AK312">
        <v>16</v>
      </c>
      <c r="AL312" t="s">
        <v>4393</v>
      </c>
      <c r="AM312" t="s">
        <v>824</v>
      </c>
      <c r="AN312" t="s">
        <v>4394</v>
      </c>
      <c r="AO312" t="s">
        <v>4395</v>
      </c>
      <c r="AP312" t="s">
        <v>74</v>
      </c>
      <c r="AQ312" t="s">
        <v>4396</v>
      </c>
      <c r="AR312" t="s">
        <v>4397</v>
      </c>
      <c r="AS312" t="s">
        <v>74</v>
      </c>
      <c r="AT312" t="s">
        <v>74</v>
      </c>
      <c r="AU312">
        <v>2004</v>
      </c>
      <c r="AV312">
        <v>39</v>
      </c>
      <c r="AW312" t="s">
        <v>74</v>
      </c>
      <c r="AX312" t="s">
        <v>74</v>
      </c>
      <c r="AY312" t="s">
        <v>74</v>
      </c>
      <c r="AZ312" t="s">
        <v>74</v>
      </c>
      <c r="BA312" t="s">
        <v>74</v>
      </c>
      <c r="BB312">
        <v>307</v>
      </c>
      <c r="BC312">
        <v>312</v>
      </c>
      <c r="BD312" t="s">
        <v>74</v>
      </c>
      <c r="BE312" t="s">
        <v>4906</v>
      </c>
      <c r="BF312" t="str">
        <f>HYPERLINK("http://dx.doi.org/10.3189/172756404781814032","http://dx.doi.org/10.3189/172756404781814032")</f>
        <v>http://dx.doi.org/10.3189/172756404781814032</v>
      </c>
      <c r="BG312" t="s">
        <v>74</v>
      </c>
      <c r="BH312" t="s">
        <v>74</v>
      </c>
      <c r="BI312">
        <v>6</v>
      </c>
      <c r="BJ312" t="s">
        <v>560</v>
      </c>
      <c r="BK312" t="s">
        <v>1116</v>
      </c>
      <c r="BL312" t="s">
        <v>561</v>
      </c>
      <c r="BM312" t="s">
        <v>4399</v>
      </c>
      <c r="BN312" t="s">
        <v>74</v>
      </c>
      <c r="BO312" t="s">
        <v>286</v>
      </c>
      <c r="BP312" t="s">
        <v>74</v>
      </c>
      <c r="BQ312" t="s">
        <v>74</v>
      </c>
      <c r="BR312" t="s">
        <v>99</v>
      </c>
      <c r="BS312" t="s">
        <v>4907</v>
      </c>
      <c r="BT312" t="str">
        <f>HYPERLINK("https%3A%2F%2Fwww.webofscience.com%2Fwos%2Fwoscc%2Ffull-record%2FWOS:000232368400046","View Full Record in Web of Science")</f>
        <v>View Full Record in Web of Science</v>
      </c>
    </row>
    <row r="313" spans="1:72" x14ac:dyDescent="0.15">
      <c r="A313" t="s">
        <v>497</v>
      </c>
      <c r="B313" t="s">
        <v>4908</v>
      </c>
      <c r="C313" t="s">
        <v>74</v>
      </c>
      <c r="D313" t="s">
        <v>4378</v>
      </c>
      <c r="E313" t="s">
        <v>74</v>
      </c>
      <c r="F313" t="s">
        <v>4908</v>
      </c>
      <c r="G313" t="s">
        <v>74</v>
      </c>
      <c r="H313" t="s">
        <v>74</v>
      </c>
      <c r="I313" t="s">
        <v>4909</v>
      </c>
      <c r="J313" t="s">
        <v>4380</v>
      </c>
      <c r="K313" t="s">
        <v>4381</v>
      </c>
      <c r="L313" t="s">
        <v>74</v>
      </c>
      <c r="M313" t="s">
        <v>77</v>
      </c>
      <c r="N313" t="s">
        <v>311</v>
      </c>
      <c r="O313" t="s">
        <v>4382</v>
      </c>
      <c r="P313" t="s">
        <v>4383</v>
      </c>
      <c r="Q313" t="s">
        <v>4384</v>
      </c>
      <c r="R313" t="s">
        <v>74</v>
      </c>
      <c r="S313" t="s">
        <v>4385</v>
      </c>
      <c r="T313" t="s">
        <v>74</v>
      </c>
      <c r="U313" t="s">
        <v>4910</v>
      </c>
      <c r="V313" t="s">
        <v>4911</v>
      </c>
      <c r="W313" t="s">
        <v>4912</v>
      </c>
      <c r="X313" t="s">
        <v>4913</v>
      </c>
      <c r="Y313" t="s">
        <v>4914</v>
      </c>
      <c r="Z313" t="s">
        <v>4915</v>
      </c>
      <c r="AA313" t="s">
        <v>4916</v>
      </c>
      <c r="AB313" t="s">
        <v>4917</v>
      </c>
      <c r="AC313" t="s">
        <v>74</v>
      </c>
      <c r="AD313" t="s">
        <v>74</v>
      </c>
      <c r="AE313" t="s">
        <v>74</v>
      </c>
      <c r="AF313" t="s">
        <v>74</v>
      </c>
      <c r="AG313">
        <v>23</v>
      </c>
      <c r="AH313">
        <v>37</v>
      </c>
      <c r="AI313">
        <v>45</v>
      </c>
      <c r="AJ313">
        <v>0</v>
      </c>
      <c r="AK313">
        <v>5</v>
      </c>
      <c r="AL313" t="s">
        <v>4393</v>
      </c>
      <c r="AM313" t="s">
        <v>824</v>
      </c>
      <c r="AN313" t="s">
        <v>4394</v>
      </c>
      <c r="AO313" t="s">
        <v>4395</v>
      </c>
      <c r="AP313" t="s">
        <v>74</v>
      </c>
      <c r="AQ313" t="s">
        <v>4396</v>
      </c>
      <c r="AR313" t="s">
        <v>4397</v>
      </c>
      <c r="AS313" t="s">
        <v>74</v>
      </c>
      <c r="AT313" t="s">
        <v>74</v>
      </c>
      <c r="AU313">
        <v>2004</v>
      </c>
      <c r="AV313">
        <v>39</v>
      </c>
      <c r="AW313" t="s">
        <v>74</v>
      </c>
      <c r="AX313" t="s">
        <v>74</v>
      </c>
      <c r="AY313" t="s">
        <v>74</v>
      </c>
      <c r="AZ313" t="s">
        <v>74</v>
      </c>
      <c r="BA313" t="s">
        <v>74</v>
      </c>
      <c r="BB313">
        <v>313</v>
      </c>
      <c r="BC313">
        <v>320</v>
      </c>
      <c r="BD313" t="s">
        <v>74</v>
      </c>
      <c r="BE313" t="s">
        <v>4918</v>
      </c>
      <c r="BF313" t="str">
        <f>HYPERLINK("http://dx.doi.org/10.3189/172756404781814663","http://dx.doi.org/10.3189/172756404781814663")</f>
        <v>http://dx.doi.org/10.3189/172756404781814663</v>
      </c>
      <c r="BG313" t="s">
        <v>74</v>
      </c>
      <c r="BH313" t="s">
        <v>74</v>
      </c>
      <c r="BI313">
        <v>8</v>
      </c>
      <c r="BJ313" t="s">
        <v>560</v>
      </c>
      <c r="BK313" t="s">
        <v>1116</v>
      </c>
      <c r="BL313" t="s">
        <v>561</v>
      </c>
      <c r="BM313" t="s">
        <v>4399</v>
      </c>
      <c r="BN313" t="s">
        <v>74</v>
      </c>
      <c r="BO313" t="s">
        <v>541</v>
      </c>
      <c r="BP313" t="s">
        <v>74</v>
      </c>
      <c r="BQ313" t="s">
        <v>74</v>
      </c>
      <c r="BR313" t="s">
        <v>99</v>
      </c>
      <c r="BS313" t="s">
        <v>4919</v>
      </c>
      <c r="BT313" t="str">
        <f>HYPERLINK("https%3A%2F%2Fwww.webofscience.com%2Fwos%2Fwoscc%2Ffull-record%2FWOS:000232368400047","View Full Record in Web of Science")</f>
        <v>View Full Record in Web of Science</v>
      </c>
    </row>
    <row r="314" spans="1:72" x14ac:dyDescent="0.15">
      <c r="A314" t="s">
        <v>497</v>
      </c>
      <c r="B314" t="s">
        <v>4920</v>
      </c>
      <c r="C314" t="s">
        <v>74</v>
      </c>
      <c r="D314" t="s">
        <v>4378</v>
      </c>
      <c r="E314" t="s">
        <v>74</v>
      </c>
      <c r="F314" t="s">
        <v>4920</v>
      </c>
      <c r="G314" t="s">
        <v>74</v>
      </c>
      <c r="H314" t="s">
        <v>74</v>
      </c>
      <c r="I314" t="s">
        <v>4921</v>
      </c>
      <c r="J314" t="s">
        <v>4380</v>
      </c>
      <c r="K314" t="s">
        <v>4381</v>
      </c>
      <c r="L314" t="s">
        <v>74</v>
      </c>
      <c r="M314" t="s">
        <v>77</v>
      </c>
      <c r="N314" t="s">
        <v>311</v>
      </c>
      <c r="O314" t="s">
        <v>4382</v>
      </c>
      <c r="P314" t="s">
        <v>4383</v>
      </c>
      <c r="Q314" t="s">
        <v>4384</v>
      </c>
      <c r="R314" t="s">
        <v>74</v>
      </c>
      <c r="S314" t="s">
        <v>4385</v>
      </c>
      <c r="T314" t="s">
        <v>74</v>
      </c>
      <c r="U314" t="s">
        <v>4922</v>
      </c>
      <c r="V314" t="s">
        <v>4923</v>
      </c>
      <c r="W314" t="s">
        <v>4924</v>
      </c>
      <c r="X314" t="s">
        <v>4925</v>
      </c>
      <c r="Y314" t="s">
        <v>4926</v>
      </c>
      <c r="Z314" t="s">
        <v>4927</v>
      </c>
      <c r="AA314" t="s">
        <v>4928</v>
      </c>
      <c r="AB314" t="s">
        <v>4929</v>
      </c>
      <c r="AC314" t="s">
        <v>74</v>
      </c>
      <c r="AD314" t="s">
        <v>74</v>
      </c>
      <c r="AE314" t="s">
        <v>74</v>
      </c>
      <c r="AF314" t="s">
        <v>74</v>
      </c>
      <c r="AG314">
        <v>11</v>
      </c>
      <c r="AH314">
        <v>10</v>
      </c>
      <c r="AI314">
        <v>12</v>
      </c>
      <c r="AJ314">
        <v>0</v>
      </c>
      <c r="AK314">
        <v>2</v>
      </c>
      <c r="AL314" t="s">
        <v>4393</v>
      </c>
      <c r="AM314" t="s">
        <v>824</v>
      </c>
      <c r="AN314" t="s">
        <v>4394</v>
      </c>
      <c r="AO314" t="s">
        <v>4395</v>
      </c>
      <c r="AP314" t="s">
        <v>74</v>
      </c>
      <c r="AQ314" t="s">
        <v>4396</v>
      </c>
      <c r="AR314" t="s">
        <v>4397</v>
      </c>
      <c r="AS314" t="s">
        <v>74</v>
      </c>
      <c r="AT314" t="s">
        <v>74</v>
      </c>
      <c r="AU314">
        <v>2004</v>
      </c>
      <c r="AV314">
        <v>39</v>
      </c>
      <c r="AW314" t="s">
        <v>74</v>
      </c>
      <c r="AX314" t="s">
        <v>74</v>
      </c>
      <c r="AY314" t="s">
        <v>74</v>
      </c>
      <c r="AZ314" t="s">
        <v>74</v>
      </c>
      <c r="BA314" t="s">
        <v>74</v>
      </c>
      <c r="BB314">
        <v>321</v>
      </c>
      <c r="BC314">
        <v>325</v>
      </c>
      <c r="BD314" t="s">
        <v>74</v>
      </c>
      <c r="BE314" t="s">
        <v>4930</v>
      </c>
      <c r="BF314" t="str">
        <f>HYPERLINK("http://dx.doi.org/10.3189/172756404781814456","http://dx.doi.org/10.3189/172756404781814456")</f>
        <v>http://dx.doi.org/10.3189/172756404781814456</v>
      </c>
      <c r="BG314" t="s">
        <v>74</v>
      </c>
      <c r="BH314" t="s">
        <v>74</v>
      </c>
      <c r="BI314">
        <v>5</v>
      </c>
      <c r="BJ314" t="s">
        <v>560</v>
      </c>
      <c r="BK314" t="s">
        <v>1116</v>
      </c>
      <c r="BL314" t="s">
        <v>561</v>
      </c>
      <c r="BM314" t="s">
        <v>4399</v>
      </c>
      <c r="BN314" t="s">
        <v>74</v>
      </c>
      <c r="BO314" t="s">
        <v>286</v>
      </c>
      <c r="BP314" t="s">
        <v>74</v>
      </c>
      <c r="BQ314" t="s">
        <v>74</v>
      </c>
      <c r="BR314" t="s">
        <v>99</v>
      </c>
      <c r="BS314" t="s">
        <v>4931</v>
      </c>
      <c r="BT314" t="str">
        <f>HYPERLINK("https%3A%2F%2Fwww.webofscience.com%2Fwos%2Fwoscc%2Ffull-record%2FWOS:000232368400048","View Full Record in Web of Science")</f>
        <v>View Full Record in Web of Science</v>
      </c>
    </row>
    <row r="315" spans="1:72" x14ac:dyDescent="0.15">
      <c r="A315" t="s">
        <v>497</v>
      </c>
      <c r="B315" t="s">
        <v>4932</v>
      </c>
      <c r="C315" t="s">
        <v>74</v>
      </c>
      <c r="D315" t="s">
        <v>4378</v>
      </c>
      <c r="E315" t="s">
        <v>74</v>
      </c>
      <c r="F315" t="s">
        <v>4932</v>
      </c>
      <c r="G315" t="s">
        <v>74</v>
      </c>
      <c r="H315" t="s">
        <v>74</v>
      </c>
      <c r="I315" t="s">
        <v>4933</v>
      </c>
      <c r="J315" t="s">
        <v>4380</v>
      </c>
      <c r="K315" t="s">
        <v>4381</v>
      </c>
      <c r="L315" t="s">
        <v>74</v>
      </c>
      <c r="M315" t="s">
        <v>77</v>
      </c>
      <c r="N315" t="s">
        <v>311</v>
      </c>
      <c r="O315" t="s">
        <v>4382</v>
      </c>
      <c r="P315" t="s">
        <v>4383</v>
      </c>
      <c r="Q315" t="s">
        <v>4384</v>
      </c>
      <c r="R315" t="s">
        <v>74</v>
      </c>
      <c r="S315" t="s">
        <v>4385</v>
      </c>
      <c r="T315" t="s">
        <v>74</v>
      </c>
      <c r="U315" t="s">
        <v>74</v>
      </c>
      <c r="V315" t="s">
        <v>4934</v>
      </c>
      <c r="W315" t="s">
        <v>4935</v>
      </c>
      <c r="X315" t="s">
        <v>4936</v>
      </c>
      <c r="Y315" t="s">
        <v>1343</v>
      </c>
      <c r="Z315" t="s">
        <v>4937</v>
      </c>
      <c r="AA315" t="s">
        <v>4938</v>
      </c>
      <c r="AB315" t="s">
        <v>4939</v>
      </c>
      <c r="AC315" t="s">
        <v>4940</v>
      </c>
      <c r="AD315" t="s">
        <v>1436</v>
      </c>
      <c r="AE315" t="s">
        <v>74</v>
      </c>
      <c r="AF315" t="s">
        <v>74</v>
      </c>
      <c r="AG315">
        <v>9</v>
      </c>
      <c r="AH315">
        <v>17</v>
      </c>
      <c r="AI315">
        <v>20</v>
      </c>
      <c r="AJ315">
        <v>1</v>
      </c>
      <c r="AK315">
        <v>4</v>
      </c>
      <c r="AL315" t="s">
        <v>4393</v>
      </c>
      <c r="AM315" t="s">
        <v>824</v>
      </c>
      <c r="AN315" t="s">
        <v>4394</v>
      </c>
      <c r="AO315" t="s">
        <v>4395</v>
      </c>
      <c r="AP315" t="s">
        <v>74</v>
      </c>
      <c r="AQ315" t="s">
        <v>4396</v>
      </c>
      <c r="AR315" t="s">
        <v>4397</v>
      </c>
      <c r="AS315" t="s">
        <v>74</v>
      </c>
      <c r="AT315" t="s">
        <v>74</v>
      </c>
      <c r="AU315">
        <v>2004</v>
      </c>
      <c r="AV315">
        <v>39</v>
      </c>
      <c r="AW315" t="s">
        <v>74</v>
      </c>
      <c r="AX315" t="s">
        <v>74</v>
      </c>
      <c r="AY315" t="s">
        <v>74</v>
      </c>
      <c r="AZ315" t="s">
        <v>74</v>
      </c>
      <c r="BA315" t="s">
        <v>74</v>
      </c>
      <c r="BB315">
        <v>326</v>
      </c>
      <c r="BC315">
        <v>330</v>
      </c>
      <c r="BD315" t="s">
        <v>74</v>
      </c>
      <c r="BE315" t="s">
        <v>4941</v>
      </c>
      <c r="BF315" t="str">
        <f>HYPERLINK("http://dx.doi.org/10.3189/172756404781814519","http://dx.doi.org/10.3189/172756404781814519")</f>
        <v>http://dx.doi.org/10.3189/172756404781814519</v>
      </c>
      <c r="BG315" t="s">
        <v>74</v>
      </c>
      <c r="BH315" t="s">
        <v>74</v>
      </c>
      <c r="BI315">
        <v>5</v>
      </c>
      <c r="BJ315" t="s">
        <v>560</v>
      </c>
      <c r="BK315" t="s">
        <v>1116</v>
      </c>
      <c r="BL315" t="s">
        <v>561</v>
      </c>
      <c r="BM315" t="s">
        <v>4399</v>
      </c>
      <c r="BN315" t="s">
        <v>74</v>
      </c>
      <c r="BO315" t="s">
        <v>286</v>
      </c>
      <c r="BP315" t="s">
        <v>74</v>
      </c>
      <c r="BQ315" t="s">
        <v>74</v>
      </c>
      <c r="BR315" t="s">
        <v>99</v>
      </c>
      <c r="BS315" t="s">
        <v>4942</v>
      </c>
      <c r="BT315" t="str">
        <f>HYPERLINK("https%3A%2F%2Fwww.webofscience.com%2Fwos%2Fwoscc%2Ffull-record%2FWOS:000232368400049","View Full Record in Web of Science")</f>
        <v>View Full Record in Web of Science</v>
      </c>
    </row>
    <row r="316" spans="1:72" x14ac:dyDescent="0.15">
      <c r="A316" t="s">
        <v>497</v>
      </c>
      <c r="B316" t="s">
        <v>4943</v>
      </c>
      <c r="C316" t="s">
        <v>74</v>
      </c>
      <c r="D316" t="s">
        <v>4378</v>
      </c>
      <c r="E316" t="s">
        <v>74</v>
      </c>
      <c r="F316" t="s">
        <v>4943</v>
      </c>
      <c r="G316" t="s">
        <v>74</v>
      </c>
      <c r="H316" t="s">
        <v>74</v>
      </c>
      <c r="I316" t="s">
        <v>4944</v>
      </c>
      <c r="J316" t="s">
        <v>4380</v>
      </c>
      <c r="K316" t="s">
        <v>4381</v>
      </c>
      <c r="L316" t="s">
        <v>74</v>
      </c>
      <c r="M316" t="s">
        <v>77</v>
      </c>
      <c r="N316" t="s">
        <v>311</v>
      </c>
      <c r="O316" t="s">
        <v>4382</v>
      </c>
      <c r="P316" t="s">
        <v>4383</v>
      </c>
      <c r="Q316" t="s">
        <v>4384</v>
      </c>
      <c r="R316" t="s">
        <v>74</v>
      </c>
      <c r="S316" t="s">
        <v>4385</v>
      </c>
      <c r="T316" t="s">
        <v>74</v>
      </c>
      <c r="U316" t="s">
        <v>4945</v>
      </c>
      <c r="V316" t="s">
        <v>4946</v>
      </c>
      <c r="W316" t="s">
        <v>4947</v>
      </c>
      <c r="X316" t="s">
        <v>4948</v>
      </c>
      <c r="Y316" t="s">
        <v>4949</v>
      </c>
      <c r="Z316" t="s">
        <v>4950</v>
      </c>
      <c r="AA316" t="s">
        <v>74</v>
      </c>
      <c r="AB316" t="s">
        <v>74</v>
      </c>
      <c r="AC316" t="s">
        <v>74</v>
      </c>
      <c r="AD316" t="s">
        <v>74</v>
      </c>
      <c r="AE316" t="s">
        <v>74</v>
      </c>
      <c r="AF316" t="s">
        <v>74</v>
      </c>
      <c r="AG316">
        <v>21</v>
      </c>
      <c r="AH316">
        <v>20</v>
      </c>
      <c r="AI316">
        <v>26</v>
      </c>
      <c r="AJ316">
        <v>0</v>
      </c>
      <c r="AK316">
        <v>5</v>
      </c>
      <c r="AL316" t="s">
        <v>4393</v>
      </c>
      <c r="AM316" t="s">
        <v>824</v>
      </c>
      <c r="AN316" t="s">
        <v>4394</v>
      </c>
      <c r="AO316" t="s">
        <v>4395</v>
      </c>
      <c r="AP316" t="s">
        <v>74</v>
      </c>
      <c r="AQ316" t="s">
        <v>4396</v>
      </c>
      <c r="AR316" t="s">
        <v>4397</v>
      </c>
      <c r="AS316" t="s">
        <v>74</v>
      </c>
      <c r="AT316" t="s">
        <v>74</v>
      </c>
      <c r="AU316">
        <v>2004</v>
      </c>
      <c r="AV316">
        <v>39</v>
      </c>
      <c r="AW316" t="s">
        <v>74</v>
      </c>
      <c r="AX316" t="s">
        <v>74</v>
      </c>
      <c r="AY316" t="s">
        <v>74</v>
      </c>
      <c r="AZ316" t="s">
        <v>74</v>
      </c>
      <c r="BA316" t="s">
        <v>74</v>
      </c>
      <c r="BB316">
        <v>331</v>
      </c>
      <c r="BC316">
        <v>338</v>
      </c>
      <c r="BD316" t="s">
        <v>74</v>
      </c>
      <c r="BE316" t="s">
        <v>4951</v>
      </c>
      <c r="BF316" t="str">
        <f>HYPERLINK("http://dx.doi.org/10.3189/172756404781813907","http://dx.doi.org/10.3189/172756404781813907")</f>
        <v>http://dx.doi.org/10.3189/172756404781813907</v>
      </c>
      <c r="BG316" t="s">
        <v>74</v>
      </c>
      <c r="BH316" t="s">
        <v>74</v>
      </c>
      <c r="BI316">
        <v>8</v>
      </c>
      <c r="BJ316" t="s">
        <v>560</v>
      </c>
      <c r="BK316" t="s">
        <v>1116</v>
      </c>
      <c r="BL316" t="s">
        <v>561</v>
      </c>
      <c r="BM316" t="s">
        <v>4399</v>
      </c>
      <c r="BN316" t="s">
        <v>74</v>
      </c>
      <c r="BO316" t="s">
        <v>541</v>
      </c>
      <c r="BP316" t="s">
        <v>74</v>
      </c>
      <c r="BQ316" t="s">
        <v>74</v>
      </c>
      <c r="BR316" t="s">
        <v>99</v>
      </c>
      <c r="BS316" t="s">
        <v>4952</v>
      </c>
      <c r="BT316" t="str">
        <f>HYPERLINK("https%3A%2F%2Fwww.webofscience.com%2Fwos%2Fwoscc%2Ffull-record%2FWOS:000232368400050","View Full Record in Web of Science")</f>
        <v>View Full Record in Web of Science</v>
      </c>
    </row>
    <row r="317" spans="1:72" x14ac:dyDescent="0.15">
      <c r="A317" t="s">
        <v>497</v>
      </c>
      <c r="B317" t="s">
        <v>4953</v>
      </c>
      <c r="C317" t="s">
        <v>74</v>
      </c>
      <c r="D317" t="s">
        <v>4378</v>
      </c>
      <c r="E317" t="s">
        <v>74</v>
      </c>
      <c r="F317" t="s">
        <v>4953</v>
      </c>
      <c r="G317" t="s">
        <v>74</v>
      </c>
      <c r="H317" t="s">
        <v>74</v>
      </c>
      <c r="I317" t="s">
        <v>4954</v>
      </c>
      <c r="J317" t="s">
        <v>4380</v>
      </c>
      <c r="K317" t="s">
        <v>4381</v>
      </c>
      <c r="L317" t="s">
        <v>74</v>
      </c>
      <c r="M317" t="s">
        <v>77</v>
      </c>
      <c r="N317" t="s">
        <v>311</v>
      </c>
      <c r="O317" t="s">
        <v>4382</v>
      </c>
      <c r="P317" t="s">
        <v>4383</v>
      </c>
      <c r="Q317" t="s">
        <v>4384</v>
      </c>
      <c r="R317" t="s">
        <v>74</v>
      </c>
      <c r="S317" t="s">
        <v>4385</v>
      </c>
      <c r="T317" t="s">
        <v>74</v>
      </c>
      <c r="U317" t="s">
        <v>4955</v>
      </c>
      <c r="V317" t="s">
        <v>4956</v>
      </c>
      <c r="W317" t="s">
        <v>4957</v>
      </c>
      <c r="X317" t="s">
        <v>4958</v>
      </c>
      <c r="Y317" t="s">
        <v>4959</v>
      </c>
      <c r="Z317" t="s">
        <v>4960</v>
      </c>
      <c r="AA317" t="s">
        <v>4961</v>
      </c>
      <c r="AB317" t="s">
        <v>4962</v>
      </c>
      <c r="AC317" t="s">
        <v>74</v>
      </c>
      <c r="AD317" t="s">
        <v>74</v>
      </c>
      <c r="AE317" t="s">
        <v>74</v>
      </c>
      <c r="AF317" t="s">
        <v>74</v>
      </c>
      <c r="AG317">
        <v>38</v>
      </c>
      <c r="AH317">
        <v>26</v>
      </c>
      <c r="AI317">
        <v>27</v>
      </c>
      <c r="AJ317">
        <v>1</v>
      </c>
      <c r="AK317">
        <v>17</v>
      </c>
      <c r="AL317" t="s">
        <v>4393</v>
      </c>
      <c r="AM317" t="s">
        <v>824</v>
      </c>
      <c r="AN317" t="s">
        <v>4394</v>
      </c>
      <c r="AO317" t="s">
        <v>4395</v>
      </c>
      <c r="AP317" t="s">
        <v>74</v>
      </c>
      <c r="AQ317" t="s">
        <v>4396</v>
      </c>
      <c r="AR317" t="s">
        <v>4397</v>
      </c>
      <c r="AS317" t="s">
        <v>74</v>
      </c>
      <c r="AT317" t="s">
        <v>74</v>
      </c>
      <c r="AU317">
        <v>2004</v>
      </c>
      <c r="AV317">
        <v>39</v>
      </c>
      <c r="AW317" t="s">
        <v>74</v>
      </c>
      <c r="AX317" t="s">
        <v>74</v>
      </c>
      <c r="AY317" t="s">
        <v>74</v>
      </c>
      <c r="AZ317" t="s">
        <v>74</v>
      </c>
      <c r="BA317" t="s">
        <v>74</v>
      </c>
      <c r="BB317">
        <v>339</v>
      </c>
      <c r="BC317">
        <v>345</v>
      </c>
      <c r="BD317" t="s">
        <v>74</v>
      </c>
      <c r="BE317" t="s">
        <v>4963</v>
      </c>
      <c r="BF317" t="str">
        <f>HYPERLINK("http://dx.doi.org/10.3189/172756404781814186","http://dx.doi.org/10.3189/172756404781814186")</f>
        <v>http://dx.doi.org/10.3189/172756404781814186</v>
      </c>
      <c r="BG317" t="s">
        <v>74</v>
      </c>
      <c r="BH317" t="s">
        <v>74</v>
      </c>
      <c r="BI317">
        <v>7</v>
      </c>
      <c r="BJ317" t="s">
        <v>560</v>
      </c>
      <c r="BK317" t="s">
        <v>1116</v>
      </c>
      <c r="BL317" t="s">
        <v>561</v>
      </c>
      <c r="BM317" t="s">
        <v>4399</v>
      </c>
      <c r="BN317" t="s">
        <v>74</v>
      </c>
      <c r="BO317" t="s">
        <v>541</v>
      </c>
      <c r="BP317" t="s">
        <v>74</v>
      </c>
      <c r="BQ317" t="s">
        <v>74</v>
      </c>
      <c r="BR317" t="s">
        <v>99</v>
      </c>
      <c r="BS317" t="s">
        <v>4964</v>
      </c>
      <c r="BT317" t="str">
        <f>HYPERLINK("https%3A%2F%2Fwww.webofscience.com%2Fwos%2Fwoscc%2Ffull-record%2FWOS:000232368400051","View Full Record in Web of Science")</f>
        <v>View Full Record in Web of Science</v>
      </c>
    </row>
    <row r="318" spans="1:72" x14ac:dyDescent="0.15">
      <c r="A318" t="s">
        <v>497</v>
      </c>
      <c r="B318" t="s">
        <v>4965</v>
      </c>
      <c r="C318" t="s">
        <v>74</v>
      </c>
      <c r="D318" t="s">
        <v>4378</v>
      </c>
      <c r="E318" t="s">
        <v>74</v>
      </c>
      <c r="F318" t="s">
        <v>4965</v>
      </c>
      <c r="G318" t="s">
        <v>74</v>
      </c>
      <c r="H318" t="s">
        <v>74</v>
      </c>
      <c r="I318" t="s">
        <v>4966</v>
      </c>
      <c r="J318" t="s">
        <v>4380</v>
      </c>
      <c r="K318" t="s">
        <v>4381</v>
      </c>
      <c r="L318" t="s">
        <v>74</v>
      </c>
      <c r="M318" t="s">
        <v>77</v>
      </c>
      <c r="N318" t="s">
        <v>311</v>
      </c>
      <c r="O318" t="s">
        <v>4382</v>
      </c>
      <c r="P318" t="s">
        <v>4383</v>
      </c>
      <c r="Q318" t="s">
        <v>4384</v>
      </c>
      <c r="R318" t="s">
        <v>74</v>
      </c>
      <c r="S318" t="s">
        <v>4385</v>
      </c>
      <c r="T318" t="s">
        <v>74</v>
      </c>
      <c r="U318" t="s">
        <v>4967</v>
      </c>
      <c r="V318" t="s">
        <v>4968</v>
      </c>
      <c r="W318" t="s">
        <v>4969</v>
      </c>
      <c r="X318" t="s">
        <v>4970</v>
      </c>
      <c r="Y318" t="s">
        <v>4971</v>
      </c>
      <c r="Z318" t="s">
        <v>4972</v>
      </c>
      <c r="AA318" t="s">
        <v>4973</v>
      </c>
      <c r="AB318" t="s">
        <v>4974</v>
      </c>
      <c r="AC318" t="s">
        <v>74</v>
      </c>
      <c r="AD318" t="s">
        <v>74</v>
      </c>
      <c r="AE318" t="s">
        <v>74</v>
      </c>
      <c r="AF318" t="s">
        <v>74</v>
      </c>
      <c r="AG318">
        <v>18</v>
      </c>
      <c r="AH318">
        <v>7</v>
      </c>
      <c r="AI318">
        <v>10</v>
      </c>
      <c r="AJ318">
        <v>0</v>
      </c>
      <c r="AK318">
        <v>0</v>
      </c>
      <c r="AL318" t="s">
        <v>4393</v>
      </c>
      <c r="AM318" t="s">
        <v>824</v>
      </c>
      <c r="AN318" t="s">
        <v>4394</v>
      </c>
      <c r="AO318" t="s">
        <v>4395</v>
      </c>
      <c r="AP318" t="s">
        <v>74</v>
      </c>
      <c r="AQ318" t="s">
        <v>4396</v>
      </c>
      <c r="AR318" t="s">
        <v>4397</v>
      </c>
      <c r="AS318" t="s">
        <v>74</v>
      </c>
      <c r="AT318" t="s">
        <v>74</v>
      </c>
      <c r="AU318">
        <v>2004</v>
      </c>
      <c r="AV318">
        <v>39</v>
      </c>
      <c r="AW318" t="s">
        <v>74</v>
      </c>
      <c r="AX318" t="s">
        <v>74</v>
      </c>
      <c r="AY318" t="s">
        <v>74</v>
      </c>
      <c r="AZ318" t="s">
        <v>74</v>
      </c>
      <c r="BA318" t="s">
        <v>74</v>
      </c>
      <c r="BB318">
        <v>346</v>
      </c>
      <c r="BC318">
        <v>350</v>
      </c>
      <c r="BD318" t="s">
        <v>74</v>
      </c>
      <c r="BE318" t="s">
        <v>4975</v>
      </c>
      <c r="BF318" t="str">
        <f>HYPERLINK("http://dx.doi.org/10.3189/172756404781813952","http://dx.doi.org/10.3189/172756404781813952")</f>
        <v>http://dx.doi.org/10.3189/172756404781813952</v>
      </c>
      <c r="BG318" t="s">
        <v>74</v>
      </c>
      <c r="BH318" t="s">
        <v>74</v>
      </c>
      <c r="BI318">
        <v>5</v>
      </c>
      <c r="BJ318" t="s">
        <v>560</v>
      </c>
      <c r="BK318" t="s">
        <v>1116</v>
      </c>
      <c r="BL318" t="s">
        <v>561</v>
      </c>
      <c r="BM318" t="s">
        <v>4399</v>
      </c>
      <c r="BN318" t="s">
        <v>74</v>
      </c>
      <c r="BO318" t="s">
        <v>541</v>
      </c>
      <c r="BP318" t="s">
        <v>74</v>
      </c>
      <c r="BQ318" t="s">
        <v>74</v>
      </c>
      <c r="BR318" t="s">
        <v>99</v>
      </c>
      <c r="BS318" t="s">
        <v>4976</v>
      </c>
      <c r="BT318" t="str">
        <f>HYPERLINK("https%3A%2F%2Fwww.webofscience.com%2Fwos%2Fwoscc%2Ffull-record%2FWOS:000232368400052","View Full Record in Web of Science")</f>
        <v>View Full Record in Web of Science</v>
      </c>
    </row>
    <row r="319" spans="1:72" x14ac:dyDescent="0.15">
      <c r="A319" t="s">
        <v>497</v>
      </c>
      <c r="B319" t="s">
        <v>4977</v>
      </c>
      <c r="C319" t="s">
        <v>74</v>
      </c>
      <c r="D319" t="s">
        <v>4378</v>
      </c>
      <c r="E319" t="s">
        <v>74</v>
      </c>
      <c r="F319" t="s">
        <v>4977</v>
      </c>
      <c r="G319" t="s">
        <v>74</v>
      </c>
      <c r="H319" t="s">
        <v>74</v>
      </c>
      <c r="I319" t="s">
        <v>4978</v>
      </c>
      <c r="J319" t="s">
        <v>4380</v>
      </c>
      <c r="K319" t="s">
        <v>4381</v>
      </c>
      <c r="L319" t="s">
        <v>74</v>
      </c>
      <c r="M319" t="s">
        <v>77</v>
      </c>
      <c r="N319" t="s">
        <v>311</v>
      </c>
      <c r="O319" t="s">
        <v>4382</v>
      </c>
      <c r="P319" t="s">
        <v>4383</v>
      </c>
      <c r="Q319" t="s">
        <v>4384</v>
      </c>
      <c r="R319" t="s">
        <v>74</v>
      </c>
      <c r="S319" t="s">
        <v>4385</v>
      </c>
      <c r="T319" t="s">
        <v>74</v>
      </c>
      <c r="U319" t="s">
        <v>4979</v>
      </c>
      <c r="V319" t="s">
        <v>4980</v>
      </c>
      <c r="W319" t="s">
        <v>4981</v>
      </c>
      <c r="X319" t="s">
        <v>4982</v>
      </c>
      <c r="Y319" t="s">
        <v>4983</v>
      </c>
      <c r="Z319" t="s">
        <v>4984</v>
      </c>
      <c r="AA319" t="s">
        <v>4985</v>
      </c>
      <c r="AB319" t="s">
        <v>4986</v>
      </c>
      <c r="AC319" t="s">
        <v>74</v>
      </c>
      <c r="AD319" t="s">
        <v>74</v>
      </c>
      <c r="AE319" t="s">
        <v>74</v>
      </c>
      <c r="AF319" t="s">
        <v>74</v>
      </c>
      <c r="AG319">
        <v>44</v>
      </c>
      <c r="AH319">
        <v>38</v>
      </c>
      <c r="AI319">
        <v>43</v>
      </c>
      <c r="AJ319">
        <v>0</v>
      </c>
      <c r="AK319">
        <v>8</v>
      </c>
      <c r="AL319" t="s">
        <v>4393</v>
      </c>
      <c r="AM319" t="s">
        <v>824</v>
      </c>
      <c r="AN319" t="s">
        <v>4394</v>
      </c>
      <c r="AO319" t="s">
        <v>4395</v>
      </c>
      <c r="AP319" t="s">
        <v>74</v>
      </c>
      <c r="AQ319" t="s">
        <v>4396</v>
      </c>
      <c r="AR319" t="s">
        <v>4397</v>
      </c>
      <c r="AS319" t="s">
        <v>74</v>
      </c>
      <c r="AT319" t="s">
        <v>74</v>
      </c>
      <c r="AU319">
        <v>2004</v>
      </c>
      <c r="AV319">
        <v>39</v>
      </c>
      <c r="AW319" t="s">
        <v>74</v>
      </c>
      <c r="AX319" t="s">
        <v>74</v>
      </c>
      <c r="AY319" t="s">
        <v>74</v>
      </c>
      <c r="AZ319" t="s">
        <v>74</v>
      </c>
      <c r="BA319" t="s">
        <v>74</v>
      </c>
      <c r="BB319">
        <v>351</v>
      </c>
      <c r="BC319">
        <v>358</v>
      </c>
      <c r="BD319" t="s">
        <v>74</v>
      </c>
      <c r="BE319" t="s">
        <v>4987</v>
      </c>
      <c r="BF319" t="str">
        <f>HYPERLINK("http://dx.doi.org/10.3189/172756404781813961","http://dx.doi.org/10.3189/172756404781813961")</f>
        <v>http://dx.doi.org/10.3189/172756404781813961</v>
      </c>
      <c r="BG319" t="s">
        <v>74</v>
      </c>
      <c r="BH319" t="s">
        <v>74</v>
      </c>
      <c r="BI319">
        <v>8</v>
      </c>
      <c r="BJ319" t="s">
        <v>560</v>
      </c>
      <c r="BK319" t="s">
        <v>1116</v>
      </c>
      <c r="BL319" t="s">
        <v>561</v>
      </c>
      <c r="BM319" t="s">
        <v>4399</v>
      </c>
      <c r="BN319" t="s">
        <v>74</v>
      </c>
      <c r="BO319" t="s">
        <v>516</v>
      </c>
      <c r="BP319" t="s">
        <v>74</v>
      </c>
      <c r="BQ319" t="s">
        <v>74</v>
      </c>
      <c r="BR319" t="s">
        <v>99</v>
      </c>
      <c r="BS319" t="s">
        <v>4988</v>
      </c>
      <c r="BT319" t="str">
        <f>HYPERLINK("https%3A%2F%2Fwww.webofscience.com%2Fwos%2Fwoscc%2Ffull-record%2FWOS:000232368400053","View Full Record in Web of Science")</f>
        <v>View Full Record in Web of Science</v>
      </c>
    </row>
    <row r="320" spans="1:72" x14ac:dyDescent="0.15">
      <c r="A320" t="s">
        <v>497</v>
      </c>
      <c r="B320" t="s">
        <v>4989</v>
      </c>
      <c r="C320" t="s">
        <v>74</v>
      </c>
      <c r="D320" t="s">
        <v>4378</v>
      </c>
      <c r="E320" t="s">
        <v>74</v>
      </c>
      <c r="F320" t="s">
        <v>4989</v>
      </c>
      <c r="G320" t="s">
        <v>74</v>
      </c>
      <c r="H320" t="s">
        <v>74</v>
      </c>
      <c r="I320" t="s">
        <v>4990</v>
      </c>
      <c r="J320" t="s">
        <v>4380</v>
      </c>
      <c r="K320" t="s">
        <v>4381</v>
      </c>
      <c r="L320" t="s">
        <v>74</v>
      </c>
      <c r="M320" t="s">
        <v>77</v>
      </c>
      <c r="N320" t="s">
        <v>311</v>
      </c>
      <c r="O320" t="s">
        <v>4382</v>
      </c>
      <c r="P320" t="s">
        <v>4383</v>
      </c>
      <c r="Q320" t="s">
        <v>4384</v>
      </c>
      <c r="R320" t="s">
        <v>74</v>
      </c>
      <c r="S320" t="s">
        <v>4385</v>
      </c>
      <c r="T320" t="s">
        <v>74</v>
      </c>
      <c r="U320" t="s">
        <v>4991</v>
      </c>
      <c r="V320" t="s">
        <v>4992</v>
      </c>
      <c r="W320" t="s">
        <v>4993</v>
      </c>
      <c r="X320" t="s">
        <v>1808</v>
      </c>
      <c r="Y320" t="s">
        <v>4994</v>
      </c>
      <c r="Z320" t="s">
        <v>4995</v>
      </c>
      <c r="AA320" t="s">
        <v>4452</v>
      </c>
      <c r="AB320" t="s">
        <v>4453</v>
      </c>
      <c r="AC320" t="s">
        <v>74</v>
      </c>
      <c r="AD320" t="s">
        <v>74</v>
      </c>
      <c r="AE320" t="s">
        <v>74</v>
      </c>
      <c r="AF320" t="s">
        <v>74</v>
      </c>
      <c r="AG320">
        <v>32</v>
      </c>
      <c r="AH320">
        <v>58</v>
      </c>
      <c r="AI320">
        <v>62</v>
      </c>
      <c r="AJ320">
        <v>0</v>
      </c>
      <c r="AK320">
        <v>7</v>
      </c>
      <c r="AL320" t="s">
        <v>4393</v>
      </c>
      <c r="AM320" t="s">
        <v>824</v>
      </c>
      <c r="AN320" t="s">
        <v>4394</v>
      </c>
      <c r="AO320" t="s">
        <v>4395</v>
      </c>
      <c r="AP320" t="s">
        <v>74</v>
      </c>
      <c r="AQ320" t="s">
        <v>4396</v>
      </c>
      <c r="AR320" t="s">
        <v>4397</v>
      </c>
      <c r="AS320" t="s">
        <v>74</v>
      </c>
      <c r="AT320" t="s">
        <v>74</v>
      </c>
      <c r="AU320">
        <v>2004</v>
      </c>
      <c r="AV320">
        <v>39</v>
      </c>
      <c r="AW320" t="s">
        <v>74</v>
      </c>
      <c r="AX320" t="s">
        <v>74</v>
      </c>
      <c r="AY320" t="s">
        <v>74</v>
      </c>
      <c r="AZ320" t="s">
        <v>74</v>
      </c>
      <c r="BA320" t="s">
        <v>74</v>
      </c>
      <c r="BB320">
        <v>359</v>
      </c>
      <c r="BC320">
        <v>365</v>
      </c>
      <c r="BD320" t="s">
        <v>74</v>
      </c>
      <c r="BE320" t="s">
        <v>4996</v>
      </c>
      <c r="BF320" t="str">
        <f>HYPERLINK("http://dx.doi.org/10.3189/172756404781814221","http://dx.doi.org/10.3189/172756404781814221")</f>
        <v>http://dx.doi.org/10.3189/172756404781814221</v>
      </c>
      <c r="BG320" t="s">
        <v>74</v>
      </c>
      <c r="BH320" t="s">
        <v>74</v>
      </c>
      <c r="BI320">
        <v>7</v>
      </c>
      <c r="BJ320" t="s">
        <v>560</v>
      </c>
      <c r="BK320" t="s">
        <v>1116</v>
      </c>
      <c r="BL320" t="s">
        <v>561</v>
      </c>
      <c r="BM320" t="s">
        <v>4399</v>
      </c>
      <c r="BN320" t="s">
        <v>74</v>
      </c>
      <c r="BO320" t="s">
        <v>541</v>
      </c>
      <c r="BP320" t="s">
        <v>74</v>
      </c>
      <c r="BQ320" t="s">
        <v>74</v>
      </c>
      <c r="BR320" t="s">
        <v>99</v>
      </c>
      <c r="BS320" t="s">
        <v>4997</v>
      </c>
      <c r="BT320" t="str">
        <f>HYPERLINK("https%3A%2F%2Fwww.webofscience.com%2Fwos%2Fwoscc%2Ffull-record%2FWOS:000232368400054","View Full Record in Web of Science")</f>
        <v>View Full Record in Web of Science</v>
      </c>
    </row>
    <row r="321" spans="1:72" x14ac:dyDescent="0.15">
      <c r="A321" t="s">
        <v>497</v>
      </c>
      <c r="B321" t="s">
        <v>4998</v>
      </c>
      <c r="C321" t="s">
        <v>74</v>
      </c>
      <c r="D321" t="s">
        <v>4378</v>
      </c>
      <c r="E321" t="s">
        <v>74</v>
      </c>
      <c r="F321" t="s">
        <v>4998</v>
      </c>
      <c r="G321" t="s">
        <v>74</v>
      </c>
      <c r="H321" t="s">
        <v>74</v>
      </c>
      <c r="I321" t="s">
        <v>4999</v>
      </c>
      <c r="J321" t="s">
        <v>4380</v>
      </c>
      <c r="K321" t="s">
        <v>4381</v>
      </c>
      <c r="L321" t="s">
        <v>74</v>
      </c>
      <c r="M321" t="s">
        <v>77</v>
      </c>
      <c r="N321" t="s">
        <v>311</v>
      </c>
      <c r="O321" t="s">
        <v>4382</v>
      </c>
      <c r="P321" t="s">
        <v>4383</v>
      </c>
      <c r="Q321" t="s">
        <v>4384</v>
      </c>
      <c r="R321" t="s">
        <v>74</v>
      </c>
      <c r="S321" t="s">
        <v>4385</v>
      </c>
      <c r="T321" t="s">
        <v>74</v>
      </c>
      <c r="U321" t="s">
        <v>5000</v>
      </c>
      <c r="V321" t="s">
        <v>5001</v>
      </c>
      <c r="W321" t="s">
        <v>5002</v>
      </c>
      <c r="X321" t="s">
        <v>5003</v>
      </c>
      <c r="Y321" t="s">
        <v>5004</v>
      </c>
      <c r="Z321" t="s">
        <v>5005</v>
      </c>
      <c r="AA321" t="s">
        <v>5006</v>
      </c>
      <c r="AB321" t="s">
        <v>5007</v>
      </c>
      <c r="AC321" t="s">
        <v>74</v>
      </c>
      <c r="AD321" t="s">
        <v>74</v>
      </c>
      <c r="AE321" t="s">
        <v>74</v>
      </c>
      <c r="AF321" t="s">
        <v>74</v>
      </c>
      <c r="AG321">
        <v>32</v>
      </c>
      <c r="AH321">
        <v>18</v>
      </c>
      <c r="AI321">
        <v>22</v>
      </c>
      <c r="AJ321">
        <v>2</v>
      </c>
      <c r="AK321">
        <v>6</v>
      </c>
      <c r="AL321" t="s">
        <v>4393</v>
      </c>
      <c r="AM321" t="s">
        <v>824</v>
      </c>
      <c r="AN321" t="s">
        <v>4394</v>
      </c>
      <c r="AO321" t="s">
        <v>4395</v>
      </c>
      <c r="AP321" t="s">
        <v>74</v>
      </c>
      <c r="AQ321" t="s">
        <v>4396</v>
      </c>
      <c r="AR321" t="s">
        <v>4397</v>
      </c>
      <c r="AS321" t="s">
        <v>74</v>
      </c>
      <c r="AT321" t="s">
        <v>74</v>
      </c>
      <c r="AU321">
        <v>2004</v>
      </c>
      <c r="AV321">
        <v>39</v>
      </c>
      <c r="AW321" t="s">
        <v>74</v>
      </c>
      <c r="AX321" t="s">
        <v>74</v>
      </c>
      <c r="AY321" t="s">
        <v>74</v>
      </c>
      <c r="AZ321" t="s">
        <v>74</v>
      </c>
      <c r="BA321" t="s">
        <v>74</v>
      </c>
      <c r="BB321">
        <v>366</v>
      </c>
      <c r="BC321">
        <v>372</v>
      </c>
      <c r="BD321" t="s">
        <v>74</v>
      </c>
      <c r="BE321" t="s">
        <v>5008</v>
      </c>
      <c r="BF321" t="str">
        <f>HYPERLINK("http://dx.doi.org/10.3189/172756404781814375","http://dx.doi.org/10.3189/172756404781814375")</f>
        <v>http://dx.doi.org/10.3189/172756404781814375</v>
      </c>
      <c r="BG321" t="s">
        <v>74</v>
      </c>
      <c r="BH321" t="s">
        <v>74</v>
      </c>
      <c r="BI321">
        <v>7</v>
      </c>
      <c r="BJ321" t="s">
        <v>560</v>
      </c>
      <c r="BK321" t="s">
        <v>1116</v>
      </c>
      <c r="BL321" t="s">
        <v>561</v>
      </c>
      <c r="BM321" t="s">
        <v>4399</v>
      </c>
      <c r="BN321" t="s">
        <v>74</v>
      </c>
      <c r="BO321" t="s">
        <v>541</v>
      </c>
      <c r="BP321" t="s">
        <v>74</v>
      </c>
      <c r="BQ321" t="s">
        <v>74</v>
      </c>
      <c r="BR321" t="s">
        <v>99</v>
      </c>
      <c r="BS321" t="s">
        <v>5009</v>
      </c>
      <c r="BT321" t="str">
        <f>HYPERLINK("https%3A%2F%2Fwww.webofscience.com%2Fwos%2Fwoscc%2Ffull-record%2FWOS:000232368400055","View Full Record in Web of Science")</f>
        <v>View Full Record in Web of Science</v>
      </c>
    </row>
    <row r="322" spans="1:72" x14ac:dyDescent="0.15">
      <c r="A322" t="s">
        <v>497</v>
      </c>
      <c r="B322" t="s">
        <v>5010</v>
      </c>
      <c r="C322" t="s">
        <v>74</v>
      </c>
      <c r="D322" t="s">
        <v>4378</v>
      </c>
      <c r="E322" t="s">
        <v>74</v>
      </c>
      <c r="F322" t="s">
        <v>5010</v>
      </c>
      <c r="G322" t="s">
        <v>74</v>
      </c>
      <c r="H322" t="s">
        <v>74</v>
      </c>
      <c r="I322" t="s">
        <v>5011</v>
      </c>
      <c r="J322" t="s">
        <v>4380</v>
      </c>
      <c r="K322" t="s">
        <v>4381</v>
      </c>
      <c r="L322" t="s">
        <v>74</v>
      </c>
      <c r="M322" t="s">
        <v>77</v>
      </c>
      <c r="N322" t="s">
        <v>311</v>
      </c>
      <c r="O322" t="s">
        <v>4382</v>
      </c>
      <c r="P322" t="s">
        <v>4383</v>
      </c>
      <c r="Q322" t="s">
        <v>4384</v>
      </c>
      <c r="R322" t="s">
        <v>74</v>
      </c>
      <c r="S322" t="s">
        <v>4385</v>
      </c>
      <c r="T322" t="s">
        <v>74</v>
      </c>
      <c r="U322" t="s">
        <v>74</v>
      </c>
      <c r="V322" t="s">
        <v>5012</v>
      </c>
      <c r="W322" t="s">
        <v>5013</v>
      </c>
      <c r="X322" t="s">
        <v>5014</v>
      </c>
      <c r="Y322" t="s">
        <v>5015</v>
      </c>
      <c r="Z322" t="s">
        <v>5016</v>
      </c>
      <c r="AA322" t="s">
        <v>4737</v>
      </c>
      <c r="AB322" t="s">
        <v>4738</v>
      </c>
      <c r="AC322" t="s">
        <v>74</v>
      </c>
      <c r="AD322" t="s">
        <v>74</v>
      </c>
      <c r="AE322" t="s">
        <v>74</v>
      </c>
      <c r="AF322" t="s">
        <v>74</v>
      </c>
      <c r="AG322">
        <v>17</v>
      </c>
      <c r="AH322">
        <v>5</v>
      </c>
      <c r="AI322">
        <v>5</v>
      </c>
      <c r="AJ322">
        <v>1</v>
      </c>
      <c r="AK322">
        <v>7</v>
      </c>
      <c r="AL322" t="s">
        <v>4393</v>
      </c>
      <c r="AM322" t="s">
        <v>824</v>
      </c>
      <c r="AN322" t="s">
        <v>4394</v>
      </c>
      <c r="AO322" t="s">
        <v>4395</v>
      </c>
      <c r="AP322" t="s">
        <v>74</v>
      </c>
      <c r="AQ322" t="s">
        <v>4396</v>
      </c>
      <c r="AR322" t="s">
        <v>4397</v>
      </c>
      <c r="AS322" t="s">
        <v>74</v>
      </c>
      <c r="AT322" t="s">
        <v>74</v>
      </c>
      <c r="AU322">
        <v>2004</v>
      </c>
      <c r="AV322">
        <v>39</v>
      </c>
      <c r="AW322" t="s">
        <v>74</v>
      </c>
      <c r="AX322" t="s">
        <v>74</v>
      </c>
      <c r="AY322" t="s">
        <v>74</v>
      </c>
      <c r="AZ322" t="s">
        <v>74</v>
      </c>
      <c r="BA322" t="s">
        <v>74</v>
      </c>
      <c r="BB322">
        <v>373</v>
      </c>
      <c r="BC322">
        <v>378</v>
      </c>
      <c r="BD322" t="s">
        <v>74</v>
      </c>
      <c r="BE322" t="s">
        <v>5017</v>
      </c>
      <c r="BF322" t="str">
        <f>HYPERLINK("http://dx.doi.org/10.3189/172756404781814122","http://dx.doi.org/10.3189/172756404781814122")</f>
        <v>http://dx.doi.org/10.3189/172756404781814122</v>
      </c>
      <c r="BG322" t="s">
        <v>74</v>
      </c>
      <c r="BH322" t="s">
        <v>74</v>
      </c>
      <c r="BI322">
        <v>6</v>
      </c>
      <c r="BJ322" t="s">
        <v>560</v>
      </c>
      <c r="BK322" t="s">
        <v>1116</v>
      </c>
      <c r="BL322" t="s">
        <v>561</v>
      </c>
      <c r="BM322" t="s">
        <v>4399</v>
      </c>
      <c r="BN322" t="s">
        <v>74</v>
      </c>
      <c r="BO322" t="s">
        <v>541</v>
      </c>
      <c r="BP322" t="s">
        <v>74</v>
      </c>
      <c r="BQ322" t="s">
        <v>74</v>
      </c>
      <c r="BR322" t="s">
        <v>99</v>
      </c>
      <c r="BS322" t="s">
        <v>5018</v>
      </c>
      <c r="BT322" t="str">
        <f>HYPERLINK("https%3A%2F%2Fwww.webofscience.com%2Fwos%2Fwoscc%2Ffull-record%2FWOS:000232368400056","View Full Record in Web of Science")</f>
        <v>View Full Record in Web of Science</v>
      </c>
    </row>
    <row r="323" spans="1:72" x14ac:dyDescent="0.15">
      <c r="A323" t="s">
        <v>497</v>
      </c>
      <c r="B323" t="s">
        <v>5019</v>
      </c>
      <c r="C323" t="s">
        <v>74</v>
      </c>
      <c r="D323" t="s">
        <v>4378</v>
      </c>
      <c r="E323" t="s">
        <v>74</v>
      </c>
      <c r="F323" t="s">
        <v>5019</v>
      </c>
      <c r="G323" t="s">
        <v>74</v>
      </c>
      <c r="H323" t="s">
        <v>74</v>
      </c>
      <c r="I323" t="s">
        <v>5020</v>
      </c>
      <c r="J323" t="s">
        <v>4380</v>
      </c>
      <c r="K323" t="s">
        <v>4381</v>
      </c>
      <c r="L323" t="s">
        <v>74</v>
      </c>
      <c r="M323" t="s">
        <v>77</v>
      </c>
      <c r="N323" t="s">
        <v>311</v>
      </c>
      <c r="O323" t="s">
        <v>4382</v>
      </c>
      <c r="P323" t="s">
        <v>4383</v>
      </c>
      <c r="Q323" t="s">
        <v>4384</v>
      </c>
      <c r="R323" t="s">
        <v>74</v>
      </c>
      <c r="S323" t="s">
        <v>4385</v>
      </c>
      <c r="T323" t="s">
        <v>74</v>
      </c>
      <c r="U323" t="s">
        <v>5021</v>
      </c>
      <c r="V323" t="s">
        <v>5022</v>
      </c>
      <c r="W323" t="s">
        <v>5023</v>
      </c>
      <c r="X323" t="s">
        <v>5024</v>
      </c>
      <c r="Y323" t="s">
        <v>5025</v>
      </c>
      <c r="Z323" t="s">
        <v>5026</v>
      </c>
      <c r="AA323" t="s">
        <v>5027</v>
      </c>
      <c r="AB323" t="s">
        <v>5028</v>
      </c>
      <c r="AC323" t="s">
        <v>74</v>
      </c>
      <c r="AD323" t="s">
        <v>74</v>
      </c>
      <c r="AE323" t="s">
        <v>74</v>
      </c>
      <c r="AF323" t="s">
        <v>74</v>
      </c>
      <c r="AG323">
        <v>62</v>
      </c>
      <c r="AH323">
        <v>9</v>
      </c>
      <c r="AI323">
        <v>11</v>
      </c>
      <c r="AJ323">
        <v>0</v>
      </c>
      <c r="AK323">
        <v>5</v>
      </c>
      <c r="AL323" t="s">
        <v>4393</v>
      </c>
      <c r="AM323" t="s">
        <v>824</v>
      </c>
      <c r="AN323" t="s">
        <v>4394</v>
      </c>
      <c r="AO323" t="s">
        <v>4395</v>
      </c>
      <c r="AP323" t="s">
        <v>74</v>
      </c>
      <c r="AQ323" t="s">
        <v>4396</v>
      </c>
      <c r="AR323" t="s">
        <v>4397</v>
      </c>
      <c r="AS323" t="s">
        <v>74</v>
      </c>
      <c r="AT323" t="s">
        <v>74</v>
      </c>
      <c r="AU323">
        <v>2004</v>
      </c>
      <c r="AV323">
        <v>39</v>
      </c>
      <c r="AW323" t="s">
        <v>74</v>
      </c>
      <c r="AX323" t="s">
        <v>74</v>
      </c>
      <c r="AY323" t="s">
        <v>74</v>
      </c>
      <c r="AZ323" t="s">
        <v>74</v>
      </c>
      <c r="BA323" t="s">
        <v>74</v>
      </c>
      <c r="BB323">
        <v>379</v>
      </c>
      <c r="BC323">
        <v>385</v>
      </c>
      <c r="BD323" t="s">
        <v>74</v>
      </c>
      <c r="BE323" t="s">
        <v>5029</v>
      </c>
      <c r="BF323" t="str">
        <f>HYPERLINK("http://dx.doi.org/10.3189/172756404781814195","http://dx.doi.org/10.3189/172756404781814195")</f>
        <v>http://dx.doi.org/10.3189/172756404781814195</v>
      </c>
      <c r="BG323" t="s">
        <v>74</v>
      </c>
      <c r="BH323" t="s">
        <v>74</v>
      </c>
      <c r="BI323">
        <v>7</v>
      </c>
      <c r="BJ323" t="s">
        <v>560</v>
      </c>
      <c r="BK323" t="s">
        <v>1116</v>
      </c>
      <c r="BL323" t="s">
        <v>561</v>
      </c>
      <c r="BM323" t="s">
        <v>4399</v>
      </c>
      <c r="BN323" t="s">
        <v>74</v>
      </c>
      <c r="BO323" t="s">
        <v>516</v>
      </c>
      <c r="BP323" t="s">
        <v>74</v>
      </c>
      <c r="BQ323" t="s">
        <v>74</v>
      </c>
      <c r="BR323" t="s">
        <v>99</v>
      </c>
      <c r="BS323" t="s">
        <v>5030</v>
      </c>
      <c r="BT323" t="str">
        <f>HYPERLINK("https%3A%2F%2Fwww.webofscience.com%2Fwos%2Fwoscc%2Ffull-record%2FWOS:000232368400057","View Full Record in Web of Science")</f>
        <v>View Full Record in Web of Science</v>
      </c>
    </row>
    <row r="324" spans="1:72" x14ac:dyDescent="0.15">
      <c r="A324" t="s">
        <v>497</v>
      </c>
      <c r="B324" t="s">
        <v>5031</v>
      </c>
      <c r="C324" t="s">
        <v>74</v>
      </c>
      <c r="D324" t="s">
        <v>4378</v>
      </c>
      <c r="E324" t="s">
        <v>74</v>
      </c>
      <c r="F324" t="s">
        <v>5031</v>
      </c>
      <c r="G324" t="s">
        <v>74</v>
      </c>
      <c r="H324" t="s">
        <v>74</v>
      </c>
      <c r="I324" t="s">
        <v>5032</v>
      </c>
      <c r="J324" t="s">
        <v>4380</v>
      </c>
      <c r="K324" t="s">
        <v>4381</v>
      </c>
      <c r="L324" t="s">
        <v>74</v>
      </c>
      <c r="M324" t="s">
        <v>77</v>
      </c>
      <c r="N324" t="s">
        <v>311</v>
      </c>
      <c r="O324" t="s">
        <v>4382</v>
      </c>
      <c r="P324" t="s">
        <v>4383</v>
      </c>
      <c r="Q324" t="s">
        <v>4384</v>
      </c>
      <c r="R324" t="s">
        <v>74</v>
      </c>
      <c r="S324" t="s">
        <v>4385</v>
      </c>
      <c r="T324" t="s">
        <v>74</v>
      </c>
      <c r="U324" t="s">
        <v>5033</v>
      </c>
      <c r="V324" t="s">
        <v>5034</v>
      </c>
      <c r="W324" t="s">
        <v>5035</v>
      </c>
      <c r="X324" t="s">
        <v>5036</v>
      </c>
      <c r="Y324" t="s">
        <v>5037</v>
      </c>
      <c r="Z324" t="s">
        <v>5038</v>
      </c>
      <c r="AA324" t="s">
        <v>5039</v>
      </c>
      <c r="AB324" t="s">
        <v>5040</v>
      </c>
      <c r="AC324" t="s">
        <v>74</v>
      </c>
      <c r="AD324" t="s">
        <v>74</v>
      </c>
      <c r="AE324" t="s">
        <v>74</v>
      </c>
      <c r="AF324" t="s">
        <v>74</v>
      </c>
      <c r="AG324">
        <v>20</v>
      </c>
      <c r="AH324">
        <v>11</v>
      </c>
      <c r="AI324">
        <v>11</v>
      </c>
      <c r="AJ324">
        <v>0</v>
      </c>
      <c r="AK324">
        <v>1</v>
      </c>
      <c r="AL324" t="s">
        <v>4393</v>
      </c>
      <c r="AM324" t="s">
        <v>824</v>
      </c>
      <c r="AN324" t="s">
        <v>4394</v>
      </c>
      <c r="AO324" t="s">
        <v>4395</v>
      </c>
      <c r="AP324" t="s">
        <v>74</v>
      </c>
      <c r="AQ324" t="s">
        <v>4396</v>
      </c>
      <c r="AR324" t="s">
        <v>4397</v>
      </c>
      <c r="AS324" t="s">
        <v>74</v>
      </c>
      <c r="AT324" t="s">
        <v>74</v>
      </c>
      <c r="AU324">
        <v>2004</v>
      </c>
      <c r="AV324">
        <v>39</v>
      </c>
      <c r="AW324" t="s">
        <v>74</v>
      </c>
      <c r="AX324" t="s">
        <v>74</v>
      </c>
      <c r="AY324" t="s">
        <v>74</v>
      </c>
      <c r="AZ324" t="s">
        <v>74</v>
      </c>
      <c r="BA324" t="s">
        <v>74</v>
      </c>
      <c r="BB324">
        <v>386</v>
      </c>
      <c r="BC324">
        <v>390</v>
      </c>
      <c r="BD324" t="s">
        <v>74</v>
      </c>
      <c r="BE324" t="s">
        <v>5041</v>
      </c>
      <c r="BF324" t="str">
        <f>HYPERLINK("http://dx.doi.org/10.3189/172756404781814078","http://dx.doi.org/10.3189/172756404781814078")</f>
        <v>http://dx.doi.org/10.3189/172756404781814078</v>
      </c>
      <c r="BG324" t="s">
        <v>74</v>
      </c>
      <c r="BH324" t="s">
        <v>74</v>
      </c>
      <c r="BI324">
        <v>5</v>
      </c>
      <c r="BJ324" t="s">
        <v>560</v>
      </c>
      <c r="BK324" t="s">
        <v>1116</v>
      </c>
      <c r="BL324" t="s">
        <v>561</v>
      </c>
      <c r="BM324" t="s">
        <v>4399</v>
      </c>
      <c r="BN324" t="s">
        <v>74</v>
      </c>
      <c r="BO324" t="s">
        <v>306</v>
      </c>
      <c r="BP324" t="s">
        <v>74</v>
      </c>
      <c r="BQ324" t="s">
        <v>74</v>
      </c>
      <c r="BR324" t="s">
        <v>99</v>
      </c>
      <c r="BS324" t="s">
        <v>5042</v>
      </c>
      <c r="BT324" t="str">
        <f>HYPERLINK("https%3A%2F%2Fwww.webofscience.com%2Fwos%2Fwoscc%2Ffull-record%2FWOS:000232368400058","View Full Record in Web of Science")</f>
        <v>View Full Record in Web of Science</v>
      </c>
    </row>
    <row r="325" spans="1:72" x14ac:dyDescent="0.15">
      <c r="A325" t="s">
        <v>497</v>
      </c>
      <c r="B325" t="s">
        <v>5043</v>
      </c>
      <c r="C325" t="s">
        <v>74</v>
      </c>
      <c r="D325" t="s">
        <v>4378</v>
      </c>
      <c r="E325" t="s">
        <v>74</v>
      </c>
      <c r="F325" t="s">
        <v>5043</v>
      </c>
      <c r="G325" t="s">
        <v>74</v>
      </c>
      <c r="H325" t="s">
        <v>74</v>
      </c>
      <c r="I325" t="s">
        <v>5044</v>
      </c>
      <c r="J325" t="s">
        <v>4380</v>
      </c>
      <c r="K325" t="s">
        <v>4381</v>
      </c>
      <c r="L325" t="s">
        <v>74</v>
      </c>
      <c r="M325" t="s">
        <v>77</v>
      </c>
      <c r="N325" t="s">
        <v>311</v>
      </c>
      <c r="O325" t="s">
        <v>4382</v>
      </c>
      <c r="P325" t="s">
        <v>4383</v>
      </c>
      <c r="Q325" t="s">
        <v>4384</v>
      </c>
      <c r="R325" t="s">
        <v>74</v>
      </c>
      <c r="S325" t="s">
        <v>4385</v>
      </c>
      <c r="T325" t="s">
        <v>74</v>
      </c>
      <c r="U325" t="s">
        <v>5045</v>
      </c>
      <c r="V325" t="s">
        <v>5046</v>
      </c>
      <c r="W325" t="s">
        <v>5047</v>
      </c>
      <c r="X325" t="s">
        <v>5048</v>
      </c>
      <c r="Y325" t="s">
        <v>5049</v>
      </c>
      <c r="Z325" t="s">
        <v>4915</v>
      </c>
      <c r="AA325" t="s">
        <v>5050</v>
      </c>
      <c r="AB325" t="s">
        <v>4917</v>
      </c>
      <c r="AC325" t="s">
        <v>74</v>
      </c>
      <c r="AD325" t="s">
        <v>74</v>
      </c>
      <c r="AE325" t="s">
        <v>74</v>
      </c>
      <c r="AF325" t="s">
        <v>74</v>
      </c>
      <c r="AG325">
        <v>21</v>
      </c>
      <c r="AH325">
        <v>17</v>
      </c>
      <c r="AI325">
        <v>18</v>
      </c>
      <c r="AJ325">
        <v>0</v>
      </c>
      <c r="AK325">
        <v>5</v>
      </c>
      <c r="AL325" t="s">
        <v>4393</v>
      </c>
      <c r="AM325" t="s">
        <v>824</v>
      </c>
      <c r="AN325" t="s">
        <v>4394</v>
      </c>
      <c r="AO325" t="s">
        <v>4395</v>
      </c>
      <c r="AP325" t="s">
        <v>74</v>
      </c>
      <c r="AQ325" t="s">
        <v>4396</v>
      </c>
      <c r="AR325" t="s">
        <v>4397</v>
      </c>
      <c r="AS325" t="s">
        <v>74</v>
      </c>
      <c r="AT325" t="s">
        <v>74</v>
      </c>
      <c r="AU325">
        <v>2004</v>
      </c>
      <c r="AV325">
        <v>39</v>
      </c>
      <c r="AW325" t="s">
        <v>74</v>
      </c>
      <c r="AX325" t="s">
        <v>74</v>
      </c>
      <c r="AY325" t="s">
        <v>74</v>
      </c>
      <c r="AZ325" t="s">
        <v>74</v>
      </c>
      <c r="BA325" t="s">
        <v>74</v>
      </c>
      <c r="BB325">
        <v>391</v>
      </c>
      <c r="BC325">
        <v>396</v>
      </c>
      <c r="BD325" t="s">
        <v>74</v>
      </c>
      <c r="BE325" t="s">
        <v>5051</v>
      </c>
      <c r="BF325" t="str">
        <f>HYPERLINK("http://dx.doi.org/10.3189/172756404781814014","http://dx.doi.org/10.3189/172756404781814014")</f>
        <v>http://dx.doi.org/10.3189/172756404781814014</v>
      </c>
      <c r="BG325" t="s">
        <v>74</v>
      </c>
      <c r="BH325" t="s">
        <v>74</v>
      </c>
      <c r="BI325">
        <v>6</v>
      </c>
      <c r="BJ325" t="s">
        <v>560</v>
      </c>
      <c r="BK325" t="s">
        <v>1116</v>
      </c>
      <c r="BL325" t="s">
        <v>561</v>
      </c>
      <c r="BM325" t="s">
        <v>4399</v>
      </c>
      <c r="BN325" t="s">
        <v>74</v>
      </c>
      <c r="BO325" t="s">
        <v>516</v>
      </c>
      <c r="BP325" t="s">
        <v>74</v>
      </c>
      <c r="BQ325" t="s">
        <v>74</v>
      </c>
      <c r="BR325" t="s">
        <v>99</v>
      </c>
      <c r="BS325" t="s">
        <v>5052</v>
      </c>
      <c r="BT325" t="str">
        <f>HYPERLINK("https%3A%2F%2Fwww.webofscience.com%2Fwos%2Fwoscc%2Ffull-record%2FWOS:000232368400059","View Full Record in Web of Science")</f>
        <v>View Full Record in Web of Science</v>
      </c>
    </row>
    <row r="326" spans="1:72" x14ac:dyDescent="0.15">
      <c r="A326" t="s">
        <v>497</v>
      </c>
      <c r="B326" t="s">
        <v>5053</v>
      </c>
      <c r="C326" t="s">
        <v>74</v>
      </c>
      <c r="D326" t="s">
        <v>4378</v>
      </c>
      <c r="E326" t="s">
        <v>74</v>
      </c>
      <c r="F326" t="s">
        <v>5053</v>
      </c>
      <c r="G326" t="s">
        <v>74</v>
      </c>
      <c r="H326" t="s">
        <v>74</v>
      </c>
      <c r="I326" t="s">
        <v>5054</v>
      </c>
      <c r="J326" t="s">
        <v>4380</v>
      </c>
      <c r="K326" t="s">
        <v>4381</v>
      </c>
      <c r="L326" t="s">
        <v>74</v>
      </c>
      <c r="M326" t="s">
        <v>77</v>
      </c>
      <c r="N326" t="s">
        <v>311</v>
      </c>
      <c r="O326" t="s">
        <v>4382</v>
      </c>
      <c r="P326" t="s">
        <v>4383</v>
      </c>
      <c r="Q326" t="s">
        <v>4384</v>
      </c>
      <c r="R326" t="s">
        <v>74</v>
      </c>
      <c r="S326" t="s">
        <v>4385</v>
      </c>
      <c r="T326" t="s">
        <v>74</v>
      </c>
      <c r="U326" t="s">
        <v>5055</v>
      </c>
      <c r="V326" t="s">
        <v>5056</v>
      </c>
      <c r="W326" t="s">
        <v>4495</v>
      </c>
      <c r="X326" t="s">
        <v>4496</v>
      </c>
      <c r="Y326" t="s">
        <v>5057</v>
      </c>
      <c r="Z326" t="s">
        <v>5058</v>
      </c>
      <c r="AA326" t="s">
        <v>5059</v>
      </c>
      <c r="AB326" t="s">
        <v>5060</v>
      </c>
      <c r="AC326" t="s">
        <v>74</v>
      </c>
      <c r="AD326" t="s">
        <v>74</v>
      </c>
      <c r="AE326" t="s">
        <v>74</v>
      </c>
      <c r="AF326" t="s">
        <v>74</v>
      </c>
      <c r="AG326">
        <v>31</v>
      </c>
      <c r="AH326">
        <v>7</v>
      </c>
      <c r="AI326">
        <v>10</v>
      </c>
      <c r="AJ326">
        <v>1</v>
      </c>
      <c r="AK326">
        <v>5</v>
      </c>
      <c r="AL326" t="s">
        <v>4393</v>
      </c>
      <c r="AM326" t="s">
        <v>824</v>
      </c>
      <c r="AN326" t="s">
        <v>4394</v>
      </c>
      <c r="AO326" t="s">
        <v>4395</v>
      </c>
      <c r="AP326" t="s">
        <v>74</v>
      </c>
      <c r="AQ326" t="s">
        <v>4396</v>
      </c>
      <c r="AR326" t="s">
        <v>4397</v>
      </c>
      <c r="AS326" t="s">
        <v>74</v>
      </c>
      <c r="AT326" t="s">
        <v>74</v>
      </c>
      <c r="AU326">
        <v>2004</v>
      </c>
      <c r="AV326">
        <v>39</v>
      </c>
      <c r="AW326" t="s">
        <v>74</v>
      </c>
      <c r="AX326" t="s">
        <v>74</v>
      </c>
      <c r="AY326" t="s">
        <v>74</v>
      </c>
      <c r="AZ326" t="s">
        <v>74</v>
      </c>
      <c r="BA326" t="s">
        <v>74</v>
      </c>
      <c r="BB326">
        <v>397</v>
      </c>
      <c r="BC326">
        <v>401</v>
      </c>
      <c r="BD326" t="s">
        <v>74</v>
      </c>
      <c r="BE326" t="s">
        <v>5061</v>
      </c>
      <c r="BF326" t="str">
        <f>HYPERLINK("http://dx.doi.org/10.3189/172756404781814069","http://dx.doi.org/10.3189/172756404781814069")</f>
        <v>http://dx.doi.org/10.3189/172756404781814069</v>
      </c>
      <c r="BG326" t="s">
        <v>74</v>
      </c>
      <c r="BH326" t="s">
        <v>74</v>
      </c>
      <c r="BI326">
        <v>5</v>
      </c>
      <c r="BJ326" t="s">
        <v>560</v>
      </c>
      <c r="BK326" t="s">
        <v>1116</v>
      </c>
      <c r="BL326" t="s">
        <v>561</v>
      </c>
      <c r="BM326" t="s">
        <v>4399</v>
      </c>
      <c r="BN326" t="s">
        <v>74</v>
      </c>
      <c r="BO326" t="s">
        <v>74</v>
      </c>
      <c r="BP326" t="s">
        <v>74</v>
      </c>
      <c r="BQ326" t="s">
        <v>74</v>
      </c>
      <c r="BR326" t="s">
        <v>99</v>
      </c>
      <c r="BS326" t="s">
        <v>5062</v>
      </c>
      <c r="BT326" t="str">
        <f>HYPERLINK("https%3A%2F%2Fwww.webofscience.com%2Fwos%2Fwoscc%2Ffull-record%2FWOS:000232368400060","View Full Record in Web of Science")</f>
        <v>View Full Record in Web of Science</v>
      </c>
    </row>
    <row r="327" spans="1:72" x14ac:dyDescent="0.15">
      <c r="A327" t="s">
        <v>497</v>
      </c>
      <c r="B327" t="s">
        <v>5063</v>
      </c>
      <c r="C327" t="s">
        <v>74</v>
      </c>
      <c r="D327" t="s">
        <v>4378</v>
      </c>
      <c r="E327" t="s">
        <v>74</v>
      </c>
      <c r="F327" t="s">
        <v>5063</v>
      </c>
      <c r="G327" t="s">
        <v>74</v>
      </c>
      <c r="H327" t="s">
        <v>74</v>
      </c>
      <c r="I327" t="s">
        <v>5064</v>
      </c>
      <c r="J327" t="s">
        <v>4380</v>
      </c>
      <c r="K327" t="s">
        <v>4381</v>
      </c>
      <c r="L327" t="s">
        <v>74</v>
      </c>
      <c r="M327" t="s">
        <v>77</v>
      </c>
      <c r="N327" t="s">
        <v>311</v>
      </c>
      <c r="O327" t="s">
        <v>4382</v>
      </c>
      <c r="P327" t="s">
        <v>4383</v>
      </c>
      <c r="Q327" t="s">
        <v>4384</v>
      </c>
      <c r="R327" t="s">
        <v>74</v>
      </c>
      <c r="S327" t="s">
        <v>4385</v>
      </c>
      <c r="T327" t="s">
        <v>74</v>
      </c>
      <c r="U327" t="s">
        <v>5065</v>
      </c>
      <c r="V327" t="s">
        <v>5066</v>
      </c>
      <c r="W327" t="s">
        <v>5067</v>
      </c>
      <c r="X327" t="s">
        <v>5068</v>
      </c>
      <c r="Y327" t="s">
        <v>5069</v>
      </c>
      <c r="Z327" t="s">
        <v>5070</v>
      </c>
      <c r="AA327" t="s">
        <v>5071</v>
      </c>
      <c r="AB327" t="s">
        <v>5072</v>
      </c>
      <c r="AC327" t="s">
        <v>74</v>
      </c>
      <c r="AD327" t="s">
        <v>74</v>
      </c>
      <c r="AE327" t="s">
        <v>74</v>
      </c>
      <c r="AF327" t="s">
        <v>74</v>
      </c>
      <c r="AG327">
        <v>29</v>
      </c>
      <c r="AH327">
        <v>26</v>
      </c>
      <c r="AI327">
        <v>27</v>
      </c>
      <c r="AJ327">
        <v>0</v>
      </c>
      <c r="AK327">
        <v>6</v>
      </c>
      <c r="AL327" t="s">
        <v>4393</v>
      </c>
      <c r="AM327" t="s">
        <v>824</v>
      </c>
      <c r="AN327" t="s">
        <v>4394</v>
      </c>
      <c r="AO327" t="s">
        <v>4395</v>
      </c>
      <c r="AP327" t="s">
        <v>74</v>
      </c>
      <c r="AQ327" t="s">
        <v>4396</v>
      </c>
      <c r="AR327" t="s">
        <v>4397</v>
      </c>
      <c r="AS327" t="s">
        <v>74</v>
      </c>
      <c r="AT327" t="s">
        <v>74</v>
      </c>
      <c r="AU327">
        <v>2004</v>
      </c>
      <c r="AV327">
        <v>39</v>
      </c>
      <c r="AW327" t="s">
        <v>74</v>
      </c>
      <c r="AX327" t="s">
        <v>74</v>
      </c>
      <c r="AY327" t="s">
        <v>74</v>
      </c>
      <c r="AZ327" t="s">
        <v>74</v>
      </c>
      <c r="BA327" t="s">
        <v>74</v>
      </c>
      <c r="BB327">
        <v>402</v>
      </c>
      <c r="BC327">
        <v>408</v>
      </c>
      <c r="BD327" t="s">
        <v>74</v>
      </c>
      <c r="BE327" t="s">
        <v>5073</v>
      </c>
      <c r="BF327" t="str">
        <f>HYPERLINK("http://dx.doi.org/10.3189/172756404781814627","http://dx.doi.org/10.3189/172756404781814627")</f>
        <v>http://dx.doi.org/10.3189/172756404781814627</v>
      </c>
      <c r="BG327" t="s">
        <v>74</v>
      </c>
      <c r="BH327" t="s">
        <v>74</v>
      </c>
      <c r="BI327">
        <v>7</v>
      </c>
      <c r="BJ327" t="s">
        <v>560</v>
      </c>
      <c r="BK327" t="s">
        <v>1116</v>
      </c>
      <c r="BL327" t="s">
        <v>561</v>
      </c>
      <c r="BM327" t="s">
        <v>4399</v>
      </c>
      <c r="BN327" t="s">
        <v>74</v>
      </c>
      <c r="BO327" t="s">
        <v>286</v>
      </c>
      <c r="BP327" t="s">
        <v>74</v>
      </c>
      <c r="BQ327" t="s">
        <v>74</v>
      </c>
      <c r="BR327" t="s">
        <v>99</v>
      </c>
      <c r="BS327" t="s">
        <v>5074</v>
      </c>
      <c r="BT327" t="str">
        <f>HYPERLINK("https%3A%2F%2Fwww.webofscience.com%2Fwos%2Fwoscc%2Ffull-record%2FWOS:000232368400061","View Full Record in Web of Science")</f>
        <v>View Full Record in Web of Science</v>
      </c>
    </row>
    <row r="328" spans="1:72" x14ac:dyDescent="0.15">
      <c r="A328" t="s">
        <v>497</v>
      </c>
      <c r="B328" t="s">
        <v>5075</v>
      </c>
      <c r="C328" t="s">
        <v>74</v>
      </c>
      <c r="D328" t="s">
        <v>4378</v>
      </c>
      <c r="E328" t="s">
        <v>74</v>
      </c>
      <c r="F328" t="s">
        <v>5075</v>
      </c>
      <c r="G328" t="s">
        <v>74</v>
      </c>
      <c r="H328" t="s">
        <v>74</v>
      </c>
      <c r="I328" t="s">
        <v>5076</v>
      </c>
      <c r="J328" t="s">
        <v>4380</v>
      </c>
      <c r="K328" t="s">
        <v>4381</v>
      </c>
      <c r="L328" t="s">
        <v>74</v>
      </c>
      <c r="M328" t="s">
        <v>77</v>
      </c>
      <c r="N328" t="s">
        <v>311</v>
      </c>
      <c r="O328" t="s">
        <v>4382</v>
      </c>
      <c r="P328" t="s">
        <v>4383</v>
      </c>
      <c r="Q328" t="s">
        <v>4384</v>
      </c>
      <c r="R328" t="s">
        <v>74</v>
      </c>
      <c r="S328" t="s">
        <v>4385</v>
      </c>
      <c r="T328" t="s">
        <v>74</v>
      </c>
      <c r="U328" t="s">
        <v>5077</v>
      </c>
      <c r="V328" t="s">
        <v>5078</v>
      </c>
      <c r="W328" t="s">
        <v>5079</v>
      </c>
      <c r="X328" t="s">
        <v>5080</v>
      </c>
      <c r="Y328" t="s">
        <v>5081</v>
      </c>
      <c r="Z328" t="s">
        <v>5082</v>
      </c>
      <c r="AA328" t="s">
        <v>74</v>
      </c>
      <c r="AB328" t="s">
        <v>4685</v>
      </c>
      <c r="AC328" t="s">
        <v>74</v>
      </c>
      <c r="AD328" t="s">
        <v>74</v>
      </c>
      <c r="AE328" t="s">
        <v>74</v>
      </c>
      <c r="AF328" t="s">
        <v>74</v>
      </c>
      <c r="AG328">
        <v>29</v>
      </c>
      <c r="AH328">
        <v>1</v>
      </c>
      <c r="AI328">
        <v>1</v>
      </c>
      <c r="AJ328">
        <v>0</v>
      </c>
      <c r="AK328">
        <v>4</v>
      </c>
      <c r="AL328" t="s">
        <v>4393</v>
      </c>
      <c r="AM328" t="s">
        <v>824</v>
      </c>
      <c r="AN328" t="s">
        <v>4394</v>
      </c>
      <c r="AO328" t="s">
        <v>4395</v>
      </c>
      <c r="AP328" t="s">
        <v>74</v>
      </c>
      <c r="AQ328" t="s">
        <v>4396</v>
      </c>
      <c r="AR328" t="s">
        <v>4397</v>
      </c>
      <c r="AS328" t="s">
        <v>74</v>
      </c>
      <c r="AT328" t="s">
        <v>74</v>
      </c>
      <c r="AU328">
        <v>2004</v>
      </c>
      <c r="AV328">
        <v>39</v>
      </c>
      <c r="AW328" t="s">
        <v>74</v>
      </c>
      <c r="AX328" t="s">
        <v>74</v>
      </c>
      <c r="AY328" t="s">
        <v>74</v>
      </c>
      <c r="AZ328" t="s">
        <v>74</v>
      </c>
      <c r="BA328" t="s">
        <v>74</v>
      </c>
      <c r="BB328">
        <v>409</v>
      </c>
      <c r="BC328">
        <v>416</v>
      </c>
      <c r="BD328" t="s">
        <v>74</v>
      </c>
      <c r="BE328" t="s">
        <v>5083</v>
      </c>
      <c r="BF328" t="str">
        <f>HYPERLINK("http://dx.doi.org/10.3189/172756404781813844","http://dx.doi.org/10.3189/172756404781813844")</f>
        <v>http://dx.doi.org/10.3189/172756404781813844</v>
      </c>
      <c r="BG328" t="s">
        <v>74</v>
      </c>
      <c r="BH328" t="s">
        <v>74</v>
      </c>
      <c r="BI328">
        <v>8</v>
      </c>
      <c r="BJ328" t="s">
        <v>560</v>
      </c>
      <c r="BK328" t="s">
        <v>1116</v>
      </c>
      <c r="BL328" t="s">
        <v>561</v>
      </c>
      <c r="BM328" t="s">
        <v>4399</v>
      </c>
      <c r="BN328" t="s">
        <v>74</v>
      </c>
      <c r="BO328" t="s">
        <v>541</v>
      </c>
      <c r="BP328" t="s">
        <v>74</v>
      </c>
      <c r="BQ328" t="s">
        <v>74</v>
      </c>
      <c r="BR328" t="s">
        <v>99</v>
      </c>
      <c r="BS328" t="s">
        <v>5084</v>
      </c>
      <c r="BT328" t="str">
        <f>HYPERLINK("https%3A%2F%2Fwww.webofscience.com%2Fwos%2Fwoscc%2Ffull-record%2FWOS:000232368400062","View Full Record in Web of Science")</f>
        <v>View Full Record in Web of Science</v>
      </c>
    </row>
    <row r="329" spans="1:72" x14ac:dyDescent="0.15">
      <c r="A329" t="s">
        <v>497</v>
      </c>
      <c r="B329" t="s">
        <v>5085</v>
      </c>
      <c r="C329" t="s">
        <v>74</v>
      </c>
      <c r="D329" t="s">
        <v>4378</v>
      </c>
      <c r="E329" t="s">
        <v>74</v>
      </c>
      <c r="F329" t="s">
        <v>5085</v>
      </c>
      <c r="G329" t="s">
        <v>74</v>
      </c>
      <c r="H329" t="s">
        <v>74</v>
      </c>
      <c r="I329" t="s">
        <v>5086</v>
      </c>
      <c r="J329" t="s">
        <v>4380</v>
      </c>
      <c r="K329" t="s">
        <v>4381</v>
      </c>
      <c r="L329" t="s">
        <v>74</v>
      </c>
      <c r="M329" t="s">
        <v>77</v>
      </c>
      <c r="N329" t="s">
        <v>311</v>
      </c>
      <c r="O329" t="s">
        <v>4382</v>
      </c>
      <c r="P329" t="s">
        <v>4383</v>
      </c>
      <c r="Q329" t="s">
        <v>4384</v>
      </c>
      <c r="R329" t="s">
        <v>74</v>
      </c>
      <c r="S329" t="s">
        <v>4385</v>
      </c>
      <c r="T329" t="s">
        <v>74</v>
      </c>
      <c r="U329" t="s">
        <v>5087</v>
      </c>
      <c r="V329" t="s">
        <v>5088</v>
      </c>
      <c r="W329" t="s">
        <v>5089</v>
      </c>
      <c r="X329" t="s">
        <v>5090</v>
      </c>
      <c r="Y329" t="s">
        <v>5091</v>
      </c>
      <c r="Z329" t="s">
        <v>5092</v>
      </c>
      <c r="AA329" t="s">
        <v>5093</v>
      </c>
      <c r="AB329" t="s">
        <v>5094</v>
      </c>
      <c r="AC329" t="s">
        <v>74</v>
      </c>
      <c r="AD329" t="s">
        <v>74</v>
      </c>
      <c r="AE329" t="s">
        <v>74</v>
      </c>
      <c r="AF329" t="s">
        <v>74</v>
      </c>
      <c r="AG329">
        <v>22</v>
      </c>
      <c r="AH329">
        <v>7</v>
      </c>
      <c r="AI329">
        <v>9</v>
      </c>
      <c r="AJ329">
        <v>1</v>
      </c>
      <c r="AK329">
        <v>8</v>
      </c>
      <c r="AL329" t="s">
        <v>4393</v>
      </c>
      <c r="AM329" t="s">
        <v>824</v>
      </c>
      <c r="AN329" t="s">
        <v>4394</v>
      </c>
      <c r="AO329" t="s">
        <v>4395</v>
      </c>
      <c r="AP329" t="s">
        <v>74</v>
      </c>
      <c r="AQ329" t="s">
        <v>4396</v>
      </c>
      <c r="AR329" t="s">
        <v>4397</v>
      </c>
      <c r="AS329" t="s">
        <v>74</v>
      </c>
      <c r="AT329" t="s">
        <v>74</v>
      </c>
      <c r="AU329">
        <v>2004</v>
      </c>
      <c r="AV329">
        <v>39</v>
      </c>
      <c r="AW329" t="s">
        <v>74</v>
      </c>
      <c r="AX329" t="s">
        <v>74</v>
      </c>
      <c r="AY329" t="s">
        <v>74</v>
      </c>
      <c r="AZ329" t="s">
        <v>74</v>
      </c>
      <c r="BA329" t="s">
        <v>74</v>
      </c>
      <c r="BB329">
        <v>417</v>
      </c>
      <c r="BC329">
        <v>422</v>
      </c>
      <c r="BD329" t="s">
        <v>74</v>
      </c>
      <c r="BE329" t="s">
        <v>5095</v>
      </c>
      <c r="BF329" t="str">
        <f>HYPERLINK("http://dx.doi.org/10.3189/172756404781814177","http://dx.doi.org/10.3189/172756404781814177")</f>
        <v>http://dx.doi.org/10.3189/172756404781814177</v>
      </c>
      <c r="BG329" t="s">
        <v>74</v>
      </c>
      <c r="BH329" t="s">
        <v>74</v>
      </c>
      <c r="BI329">
        <v>6</v>
      </c>
      <c r="BJ329" t="s">
        <v>560</v>
      </c>
      <c r="BK329" t="s">
        <v>1116</v>
      </c>
      <c r="BL329" t="s">
        <v>561</v>
      </c>
      <c r="BM329" t="s">
        <v>4399</v>
      </c>
      <c r="BN329" t="s">
        <v>74</v>
      </c>
      <c r="BO329" t="s">
        <v>541</v>
      </c>
      <c r="BP329" t="s">
        <v>74</v>
      </c>
      <c r="BQ329" t="s">
        <v>74</v>
      </c>
      <c r="BR329" t="s">
        <v>99</v>
      </c>
      <c r="BS329" t="s">
        <v>5096</v>
      </c>
      <c r="BT329" t="str">
        <f>HYPERLINK("https%3A%2F%2Fwww.webofscience.com%2Fwos%2Fwoscc%2Ffull-record%2FWOS:000232368400063","View Full Record in Web of Science")</f>
        <v>View Full Record in Web of Science</v>
      </c>
    </row>
    <row r="330" spans="1:72" x14ac:dyDescent="0.15">
      <c r="A330" t="s">
        <v>497</v>
      </c>
      <c r="B330" t="s">
        <v>5097</v>
      </c>
      <c r="C330" t="s">
        <v>74</v>
      </c>
      <c r="D330" t="s">
        <v>4378</v>
      </c>
      <c r="E330" t="s">
        <v>74</v>
      </c>
      <c r="F330" t="s">
        <v>5097</v>
      </c>
      <c r="G330" t="s">
        <v>74</v>
      </c>
      <c r="H330" t="s">
        <v>74</v>
      </c>
      <c r="I330" t="s">
        <v>5098</v>
      </c>
      <c r="J330" t="s">
        <v>4380</v>
      </c>
      <c r="K330" t="s">
        <v>4381</v>
      </c>
      <c r="L330" t="s">
        <v>74</v>
      </c>
      <c r="M330" t="s">
        <v>77</v>
      </c>
      <c r="N330" t="s">
        <v>311</v>
      </c>
      <c r="O330" t="s">
        <v>4382</v>
      </c>
      <c r="P330" t="s">
        <v>4383</v>
      </c>
      <c r="Q330" t="s">
        <v>4384</v>
      </c>
      <c r="R330" t="s">
        <v>74</v>
      </c>
      <c r="S330" t="s">
        <v>4385</v>
      </c>
      <c r="T330" t="s">
        <v>74</v>
      </c>
      <c r="U330" t="s">
        <v>5099</v>
      </c>
      <c r="V330" t="s">
        <v>5100</v>
      </c>
      <c r="W330" t="s">
        <v>5101</v>
      </c>
      <c r="X330" t="s">
        <v>5102</v>
      </c>
      <c r="Y330" t="s">
        <v>5103</v>
      </c>
      <c r="Z330" t="s">
        <v>5104</v>
      </c>
      <c r="AA330" t="s">
        <v>5105</v>
      </c>
      <c r="AB330" t="s">
        <v>5106</v>
      </c>
      <c r="AC330" t="s">
        <v>74</v>
      </c>
      <c r="AD330" t="s">
        <v>74</v>
      </c>
      <c r="AE330" t="s">
        <v>74</v>
      </c>
      <c r="AF330" t="s">
        <v>74</v>
      </c>
      <c r="AG330">
        <v>45</v>
      </c>
      <c r="AH330">
        <v>37</v>
      </c>
      <c r="AI330">
        <v>42</v>
      </c>
      <c r="AJ330">
        <v>0</v>
      </c>
      <c r="AK330">
        <v>14</v>
      </c>
      <c r="AL330" t="s">
        <v>4393</v>
      </c>
      <c r="AM330" t="s">
        <v>824</v>
      </c>
      <c r="AN330" t="s">
        <v>4394</v>
      </c>
      <c r="AO330" t="s">
        <v>4395</v>
      </c>
      <c r="AP330" t="s">
        <v>74</v>
      </c>
      <c r="AQ330" t="s">
        <v>4396</v>
      </c>
      <c r="AR330" t="s">
        <v>4397</v>
      </c>
      <c r="AS330" t="s">
        <v>74</v>
      </c>
      <c r="AT330" t="s">
        <v>74</v>
      </c>
      <c r="AU330">
        <v>2004</v>
      </c>
      <c r="AV330">
        <v>39</v>
      </c>
      <c r="AW330" t="s">
        <v>74</v>
      </c>
      <c r="AX330" t="s">
        <v>74</v>
      </c>
      <c r="AY330" t="s">
        <v>74</v>
      </c>
      <c r="AZ330" t="s">
        <v>74</v>
      </c>
      <c r="BA330" t="s">
        <v>74</v>
      </c>
      <c r="BB330">
        <v>423</v>
      </c>
      <c r="BC330">
        <v>432</v>
      </c>
      <c r="BD330" t="s">
        <v>74</v>
      </c>
      <c r="BE330" t="s">
        <v>5107</v>
      </c>
      <c r="BF330" t="str">
        <f>HYPERLINK("http://dx.doi.org/10.3189/172756404781814591","http://dx.doi.org/10.3189/172756404781814591")</f>
        <v>http://dx.doi.org/10.3189/172756404781814591</v>
      </c>
      <c r="BG330" t="s">
        <v>74</v>
      </c>
      <c r="BH330" t="s">
        <v>74</v>
      </c>
      <c r="BI330">
        <v>10</v>
      </c>
      <c r="BJ330" t="s">
        <v>560</v>
      </c>
      <c r="BK330" t="s">
        <v>1116</v>
      </c>
      <c r="BL330" t="s">
        <v>561</v>
      </c>
      <c r="BM330" t="s">
        <v>4399</v>
      </c>
      <c r="BN330" t="s">
        <v>74</v>
      </c>
      <c r="BO330" t="s">
        <v>286</v>
      </c>
      <c r="BP330" t="s">
        <v>74</v>
      </c>
      <c r="BQ330" t="s">
        <v>74</v>
      </c>
      <c r="BR330" t="s">
        <v>99</v>
      </c>
      <c r="BS330" t="s">
        <v>5108</v>
      </c>
      <c r="BT330" t="str">
        <f>HYPERLINK("https%3A%2F%2Fwww.webofscience.com%2Fwos%2Fwoscc%2Ffull-record%2FWOS:000232368400064","View Full Record in Web of Science")</f>
        <v>View Full Record in Web of Science</v>
      </c>
    </row>
    <row r="331" spans="1:72" x14ac:dyDescent="0.15">
      <c r="A331" t="s">
        <v>497</v>
      </c>
      <c r="B331" t="s">
        <v>5109</v>
      </c>
      <c r="C331" t="s">
        <v>74</v>
      </c>
      <c r="D331" t="s">
        <v>4378</v>
      </c>
      <c r="E331" t="s">
        <v>74</v>
      </c>
      <c r="F331" t="s">
        <v>5109</v>
      </c>
      <c r="G331" t="s">
        <v>74</v>
      </c>
      <c r="H331" t="s">
        <v>74</v>
      </c>
      <c r="I331" t="s">
        <v>5110</v>
      </c>
      <c r="J331" t="s">
        <v>4380</v>
      </c>
      <c r="K331" t="s">
        <v>4381</v>
      </c>
      <c r="L331" t="s">
        <v>74</v>
      </c>
      <c r="M331" t="s">
        <v>77</v>
      </c>
      <c r="N331" t="s">
        <v>311</v>
      </c>
      <c r="O331" t="s">
        <v>4382</v>
      </c>
      <c r="P331" t="s">
        <v>4383</v>
      </c>
      <c r="Q331" t="s">
        <v>4384</v>
      </c>
      <c r="R331" t="s">
        <v>74</v>
      </c>
      <c r="S331" t="s">
        <v>4385</v>
      </c>
      <c r="T331" t="s">
        <v>74</v>
      </c>
      <c r="U331" t="s">
        <v>5111</v>
      </c>
      <c r="V331" t="s">
        <v>5112</v>
      </c>
      <c r="W331" t="s">
        <v>5113</v>
      </c>
      <c r="X331" t="s">
        <v>1291</v>
      </c>
      <c r="Y331" t="s">
        <v>5114</v>
      </c>
      <c r="Z331" t="s">
        <v>5115</v>
      </c>
      <c r="AA331" t="s">
        <v>5116</v>
      </c>
      <c r="AB331" t="s">
        <v>5117</v>
      </c>
      <c r="AC331" t="s">
        <v>74</v>
      </c>
      <c r="AD331" t="s">
        <v>74</v>
      </c>
      <c r="AE331" t="s">
        <v>74</v>
      </c>
      <c r="AF331" t="s">
        <v>74</v>
      </c>
      <c r="AG331">
        <v>32</v>
      </c>
      <c r="AH331">
        <v>27</v>
      </c>
      <c r="AI331">
        <v>27</v>
      </c>
      <c r="AJ331">
        <v>0</v>
      </c>
      <c r="AK331">
        <v>10</v>
      </c>
      <c r="AL331" t="s">
        <v>4393</v>
      </c>
      <c r="AM331" t="s">
        <v>824</v>
      </c>
      <c r="AN331" t="s">
        <v>4394</v>
      </c>
      <c r="AO331" t="s">
        <v>4395</v>
      </c>
      <c r="AP331" t="s">
        <v>74</v>
      </c>
      <c r="AQ331" t="s">
        <v>4396</v>
      </c>
      <c r="AR331" t="s">
        <v>4397</v>
      </c>
      <c r="AS331" t="s">
        <v>74</v>
      </c>
      <c r="AT331" t="s">
        <v>74</v>
      </c>
      <c r="AU331">
        <v>2004</v>
      </c>
      <c r="AV331">
        <v>39</v>
      </c>
      <c r="AW331" t="s">
        <v>74</v>
      </c>
      <c r="AX331" t="s">
        <v>74</v>
      </c>
      <c r="AY331" t="s">
        <v>74</v>
      </c>
      <c r="AZ331" t="s">
        <v>74</v>
      </c>
      <c r="BA331" t="s">
        <v>74</v>
      </c>
      <c r="BB331">
        <v>433</v>
      </c>
      <c r="BC331">
        <v>438</v>
      </c>
      <c r="BD331" t="s">
        <v>74</v>
      </c>
      <c r="BE331" t="s">
        <v>5118</v>
      </c>
      <c r="BF331" t="str">
        <f>HYPERLINK("http://dx.doi.org/10.3189/172756404781814258","http://dx.doi.org/10.3189/172756404781814258")</f>
        <v>http://dx.doi.org/10.3189/172756404781814258</v>
      </c>
      <c r="BG331" t="s">
        <v>74</v>
      </c>
      <c r="BH331" t="s">
        <v>74</v>
      </c>
      <c r="BI331">
        <v>6</v>
      </c>
      <c r="BJ331" t="s">
        <v>560</v>
      </c>
      <c r="BK331" t="s">
        <v>1116</v>
      </c>
      <c r="BL331" t="s">
        <v>561</v>
      </c>
      <c r="BM331" t="s">
        <v>4399</v>
      </c>
      <c r="BN331" t="s">
        <v>74</v>
      </c>
      <c r="BO331" t="s">
        <v>541</v>
      </c>
      <c r="BP331" t="s">
        <v>74</v>
      </c>
      <c r="BQ331" t="s">
        <v>74</v>
      </c>
      <c r="BR331" t="s">
        <v>99</v>
      </c>
      <c r="BS331" t="s">
        <v>5119</v>
      </c>
      <c r="BT331" t="str">
        <f>HYPERLINK("https%3A%2F%2Fwww.webofscience.com%2Fwos%2Fwoscc%2Ffull-record%2FWOS:000232368400065","View Full Record in Web of Science")</f>
        <v>View Full Record in Web of Science</v>
      </c>
    </row>
    <row r="332" spans="1:72" x14ac:dyDescent="0.15">
      <c r="A332" t="s">
        <v>497</v>
      </c>
      <c r="B332" t="s">
        <v>5120</v>
      </c>
      <c r="C332" t="s">
        <v>74</v>
      </c>
      <c r="D332" t="s">
        <v>4378</v>
      </c>
      <c r="E332" t="s">
        <v>74</v>
      </c>
      <c r="F332" t="s">
        <v>5120</v>
      </c>
      <c r="G332" t="s">
        <v>74</v>
      </c>
      <c r="H332" t="s">
        <v>74</v>
      </c>
      <c r="I332" t="s">
        <v>5121</v>
      </c>
      <c r="J332" t="s">
        <v>4380</v>
      </c>
      <c r="K332" t="s">
        <v>4381</v>
      </c>
      <c r="L332" t="s">
        <v>74</v>
      </c>
      <c r="M332" t="s">
        <v>77</v>
      </c>
      <c r="N332" t="s">
        <v>311</v>
      </c>
      <c r="O332" t="s">
        <v>4382</v>
      </c>
      <c r="P332" t="s">
        <v>4383</v>
      </c>
      <c r="Q332" t="s">
        <v>4384</v>
      </c>
      <c r="R332" t="s">
        <v>74</v>
      </c>
      <c r="S332" t="s">
        <v>4385</v>
      </c>
      <c r="T332" t="s">
        <v>74</v>
      </c>
      <c r="U332" t="s">
        <v>5122</v>
      </c>
      <c r="V332" t="s">
        <v>5123</v>
      </c>
      <c r="W332" t="s">
        <v>5124</v>
      </c>
      <c r="X332" t="s">
        <v>5125</v>
      </c>
      <c r="Y332" t="s">
        <v>5126</v>
      </c>
      <c r="Z332" t="s">
        <v>5127</v>
      </c>
      <c r="AA332" t="s">
        <v>4452</v>
      </c>
      <c r="AB332" t="s">
        <v>4453</v>
      </c>
      <c r="AC332" t="s">
        <v>74</v>
      </c>
      <c r="AD332" t="s">
        <v>74</v>
      </c>
      <c r="AE332" t="s">
        <v>74</v>
      </c>
      <c r="AF332" t="s">
        <v>74</v>
      </c>
      <c r="AG332">
        <v>30</v>
      </c>
      <c r="AH332">
        <v>2</v>
      </c>
      <c r="AI332">
        <v>2</v>
      </c>
      <c r="AJ332">
        <v>0</v>
      </c>
      <c r="AK332">
        <v>2</v>
      </c>
      <c r="AL332" t="s">
        <v>4393</v>
      </c>
      <c r="AM332" t="s">
        <v>824</v>
      </c>
      <c r="AN332" t="s">
        <v>4394</v>
      </c>
      <c r="AO332" t="s">
        <v>4395</v>
      </c>
      <c r="AP332" t="s">
        <v>74</v>
      </c>
      <c r="AQ332" t="s">
        <v>4396</v>
      </c>
      <c r="AR332" t="s">
        <v>4397</v>
      </c>
      <c r="AS332" t="s">
        <v>74</v>
      </c>
      <c r="AT332" t="s">
        <v>74</v>
      </c>
      <c r="AU332">
        <v>2004</v>
      </c>
      <c r="AV332">
        <v>39</v>
      </c>
      <c r="AW332" t="s">
        <v>74</v>
      </c>
      <c r="AX332" t="s">
        <v>74</v>
      </c>
      <c r="AY332" t="s">
        <v>74</v>
      </c>
      <c r="AZ332" t="s">
        <v>74</v>
      </c>
      <c r="BA332" t="s">
        <v>74</v>
      </c>
      <c r="BB332">
        <v>439</v>
      </c>
      <c r="BC332">
        <v>444</v>
      </c>
      <c r="BD332" t="s">
        <v>74</v>
      </c>
      <c r="BE332" t="s">
        <v>5128</v>
      </c>
      <c r="BF332" t="str">
        <f>HYPERLINK("http://dx.doi.org/10.3189/172756404781813989","http://dx.doi.org/10.3189/172756404781813989")</f>
        <v>http://dx.doi.org/10.3189/172756404781813989</v>
      </c>
      <c r="BG332" t="s">
        <v>74</v>
      </c>
      <c r="BH332" t="s">
        <v>74</v>
      </c>
      <c r="BI332">
        <v>6</v>
      </c>
      <c r="BJ332" t="s">
        <v>560</v>
      </c>
      <c r="BK332" t="s">
        <v>1116</v>
      </c>
      <c r="BL332" t="s">
        <v>561</v>
      </c>
      <c r="BM332" t="s">
        <v>4399</v>
      </c>
      <c r="BN332" t="s">
        <v>74</v>
      </c>
      <c r="BO332" t="s">
        <v>541</v>
      </c>
      <c r="BP332" t="s">
        <v>74</v>
      </c>
      <c r="BQ332" t="s">
        <v>74</v>
      </c>
      <c r="BR332" t="s">
        <v>99</v>
      </c>
      <c r="BS332" t="s">
        <v>5129</v>
      </c>
      <c r="BT332" t="str">
        <f>HYPERLINK("https%3A%2F%2Fwww.webofscience.com%2Fwos%2Fwoscc%2Ffull-record%2FWOS:000232368400066","View Full Record in Web of Science")</f>
        <v>View Full Record in Web of Science</v>
      </c>
    </row>
    <row r="333" spans="1:72" x14ac:dyDescent="0.15">
      <c r="A333" t="s">
        <v>497</v>
      </c>
      <c r="B333" t="s">
        <v>5130</v>
      </c>
      <c r="C333" t="s">
        <v>74</v>
      </c>
      <c r="D333" t="s">
        <v>4378</v>
      </c>
      <c r="E333" t="s">
        <v>74</v>
      </c>
      <c r="F333" t="s">
        <v>5130</v>
      </c>
      <c r="G333" t="s">
        <v>74</v>
      </c>
      <c r="H333" t="s">
        <v>74</v>
      </c>
      <c r="I333" t="s">
        <v>5131</v>
      </c>
      <c r="J333" t="s">
        <v>4380</v>
      </c>
      <c r="K333" t="s">
        <v>4381</v>
      </c>
      <c r="L333" t="s">
        <v>74</v>
      </c>
      <c r="M333" t="s">
        <v>77</v>
      </c>
      <c r="N333" t="s">
        <v>311</v>
      </c>
      <c r="O333" t="s">
        <v>4382</v>
      </c>
      <c r="P333" t="s">
        <v>4383</v>
      </c>
      <c r="Q333" t="s">
        <v>4384</v>
      </c>
      <c r="R333" t="s">
        <v>74</v>
      </c>
      <c r="S333" t="s">
        <v>4385</v>
      </c>
      <c r="T333" t="s">
        <v>74</v>
      </c>
      <c r="U333" t="s">
        <v>5132</v>
      </c>
      <c r="V333" t="s">
        <v>5133</v>
      </c>
      <c r="W333" t="s">
        <v>5134</v>
      </c>
      <c r="X333" t="s">
        <v>5135</v>
      </c>
      <c r="Y333" t="s">
        <v>5136</v>
      </c>
      <c r="Z333" t="s">
        <v>5137</v>
      </c>
      <c r="AA333" t="s">
        <v>74</v>
      </c>
      <c r="AB333" t="s">
        <v>5138</v>
      </c>
      <c r="AC333" t="s">
        <v>74</v>
      </c>
      <c r="AD333" t="s">
        <v>74</v>
      </c>
      <c r="AE333" t="s">
        <v>74</v>
      </c>
      <c r="AF333" t="s">
        <v>74</v>
      </c>
      <c r="AG333">
        <v>46</v>
      </c>
      <c r="AH333">
        <v>6</v>
      </c>
      <c r="AI333">
        <v>7</v>
      </c>
      <c r="AJ333">
        <v>1</v>
      </c>
      <c r="AK333">
        <v>7</v>
      </c>
      <c r="AL333" t="s">
        <v>4393</v>
      </c>
      <c r="AM333" t="s">
        <v>824</v>
      </c>
      <c r="AN333" t="s">
        <v>4394</v>
      </c>
      <c r="AO333" t="s">
        <v>4395</v>
      </c>
      <c r="AP333" t="s">
        <v>74</v>
      </c>
      <c r="AQ333" t="s">
        <v>4396</v>
      </c>
      <c r="AR333" t="s">
        <v>4397</v>
      </c>
      <c r="AS333" t="s">
        <v>74</v>
      </c>
      <c r="AT333" t="s">
        <v>74</v>
      </c>
      <c r="AU333">
        <v>2004</v>
      </c>
      <c r="AV333">
        <v>39</v>
      </c>
      <c r="AW333" t="s">
        <v>74</v>
      </c>
      <c r="AX333" t="s">
        <v>74</v>
      </c>
      <c r="AY333" t="s">
        <v>74</v>
      </c>
      <c r="AZ333" t="s">
        <v>74</v>
      </c>
      <c r="BA333" t="s">
        <v>74</v>
      </c>
      <c r="BB333">
        <v>445</v>
      </c>
      <c r="BC333">
        <v>451</v>
      </c>
      <c r="BD333" t="s">
        <v>74</v>
      </c>
      <c r="BE333" t="s">
        <v>5139</v>
      </c>
      <c r="BF333" t="str">
        <f>HYPERLINK("http://dx.doi.org/10.3189/172756404781814582","http://dx.doi.org/10.3189/172756404781814582")</f>
        <v>http://dx.doi.org/10.3189/172756404781814582</v>
      </c>
      <c r="BG333" t="s">
        <v>74</v>
      </c>
      <c r="BH333" t="s">
        <v>74</v>
      </c>
      <c r="BI333">
        <v>7</v>
      </c>
      <c r="BJ333" t="s">
        <v>560</v>
      </c>
      <c r="BK333" t="s">
        <v>1116</v>
      </c>
      <c r="BL333" t="s">
        <v>561</v>
      </c>
      <c r="BM333" t="s">
        <v>4399</v>
      </c>
      <c r="BN333" t="s">
        <v>74</v>
      </c>
      <c r="BO333" t="s">
        <v>516</v>
      </c>
      <c r="BP333" t="s">
        <v>74</v>
      </c>
      <c r="BQ333" t="s">
        <v>74</v>
      </c>
      <c r="BR333" t="s">
        <v>99</v>
      </c>
      <c r="BS333" t="s">
        <v>5140</v>
      </c>
      <c r="BT333" t="str">
        <f>HYPERLINK("https%3A%2F%2Fwww.webofscience.com%2Fwos%2Fwoscc%2Ffull-record%2FWOS:000232368400067","View Full Record in Web of Science")</f>
        <v>View Full Record in Web of Science</v>
      </c>
    </row>
    <row r="334" spans="1:72" x14ac:dyDescent="0.15">
      <c r="A334" t="s">
        <v>497</v>
      </c>
      <c r="B334" t="s">
        <v>5141</v>
      </c>
      <c r="C334" t="s">
        <v>74</v>
      </c>
      <c r="D334" t="s">
        <v>4378</v>
      </c>
      <c r="E334" t="s">
        <v>74</v>
      </c>
      <c r="F334" t="s">
        <v>5141</v>
      </c>
      <c r="G334" t="s">
        <v>74</v>
      </c>
      <c r="H334" t="s">
        <v>74</v>
      </c>
      <c r="I334" t="s">
        <v>5142</v>
      </c>
      <c r="J334" t="s">
        <v>4380</v>
      </c>
      <c r="K334" t="s">
        <v>4381</v>
      </c>
      <c r="L334" t="s">
        <v>74</v>
      </c>
      <c r="M334" t="s">
        <v>77</v>
      </c>
      <c r="N334" t="s">
        <v>311</v>
      </c>
      <c r="O334" t="s">
        <v>4382</v>
      </c>
      <c r="P334" t="s">
        <v>4383</v>
      </c>
      <c r="Q334" t="s">
        <v>4384</v>
      </c>
      <c r="R334" t="s">
        <v>74</v>
      </c>
      <c r="S334" t="s">
        <v>4385</v>
      </c>
      <c r="T334" t="s">
        <v>74</v>
      </c>
      <c r="U334" t="s">
        <v>5143</v>
      </c>
      <c r="V334" t="s">
        <v>5144</v>
      </c>
      <c r="W334" t="s">
        <v>5145</v>
      </c>
      <c r="X334" t="s">
        <v>5146</v>
      </c>
      <c r="Y334" t="s">
        <v>74</v>
      </c>
      <c r="Z334" t="s">
        <v>5147</v>
      </c>
      <c r="AA334" t="s">
        <v>5148</v>
      </c>
      <c r="AB334" t="s">
        <v>5149</v>
      </c>
      <c r="AC334" t="s">
        <v>74</v>
      </c>
      <c r="AD334" t="s">
        <v>74</v>
      </c>
      <c r="AE334" t="s">
        <v>74</v>
      </c>
      <c r="AF334" t="s">
        <v>74</v>
      </c>
      <c r="AG334">
        <v>23</v>
      </c>
      <c r="AH334">
        <v>6</v>
      </c>
      <c r="AI334">
        <v>6</v>
      </c>
      <c r="AJ334">
        <v>0</v>
      </c>
      <c r="AK334">
        <v>2</v>
      </c>
      <c r="AL334" t="s">
        <v>4393</v>
      </c>
      <c r="AM334" t="s">
        <v>824</v>
      </c>
      <c r="AN334" t="s">
        <v>4394</v>
      </c>
      <c r="AO334" t="s">
        <v>4395</v>
      </c>
      <c r="AP334" t="s">
        <v>74</v>
      </c>
      <c r="AQ334" t="s">
        <v>4396</v>
      </c>
      <c r="AR334" t="s">
        <v>4397</v>
      </c>
      <c r="AS334" t="s">
        <v>74</v>
      </c>
      <c r="AT334" t="s">
        <v>74</v>
      </c>
      <c r="AU334">
        <v>2004</v>
      </c>
      <c r="AV334">
        <v>39</v>
      </c>
      <c r="AW334" t="s">
        <v>74</v>
      </c>
      <c r="AX334" t="s">
        <v>74</v>
      </c>
      <c r="AY334" t="s">
        <v>74</v>
      </c>
      <c r="AZ334" t="s">
        <v>74</v>
      </c>
      <c r="BA334" t="s">
        <v>74</v>
      </c>
      <c r="BB334">
        <v>452</v>
      </c>
      <c r="BC334">
        <v>456</v>
      </c>
      <c r="BD334" t="s">
        <v>74</v>
      </c>
      <c r="BE334" t="s">
        <v>5150</v>
      </c>
      <c r="BF334" t="str">
        <f>HYPERLINK("http://dx.doi.org/10.3189/172756404781814302","http://dx.doi.org/10.3189/172756404781814302")</f>
        <v>http://dx.doi.org/10.3189/172756404781814302</v>
      </c>
      <c r="BG334" t="s">
        <v>74</v>
      </c>
      <c r="BH334" t="s">
        <v>74</v>
      </c>
      <c r="BI334">
        <v>5</v>
      </c>
      <c r="BJ334" t="s">
        <v>560</v>
      </c>
      <c r="BK334" t="s">
        <v>1116</v>
      </c>
      <c r="BL334" t="s">
        <v>561</v>
      </c>
      <c r="BM334" t="s">
        <v>4399</v>
      </c>
      <c r="BN334" t="s">
        <v>74</v>
      </c>
      <c r="BO334" t="s">
        <v>623</v>
      </c>
      <c r="BP334" t="s">
        <v>74</v>
      </c>
      <c r="BQ334" t="s">
        <v>74</v>
      </c>
      <c r="BR334" t="s">
        <v>99</v>
      </c>
      <c r="BS334" t="s">
        <v>5151</v>
      </c>
      <c r="BT334" t="str">
        <f>HYPERLINK("https%3A%2F%2Fwww.webofscience.com%2Fwos%2Fwoscc%2Ffull-record%2FWOS:000232368400068","View Full Record in Web of Science")</f>
        <v>View Full Record in Web of Science</v>
      </c>
    </row>
    <row r="335" spans="1:72" x14ac:dyDescent="0.15">
      <c r="A335" t="s">
        <v>497</v>
      </c>
      <c r="B335" t="s">
        <v>5152</v>
      </c>
      <c r="C335" t="s">
        <v>74</v>
      </c>
      <c r="D335" t="s">
        <v>4378</v>
      </c>
      <c r="E335" t="s">
        <v>74</v>
      </c>
      <c r="F335" t="s">
        <v>5152</v>
      </c>
      <c r="G335" t="s">
        <v>74</v>
      </c>
      <c r="H335" t="s">
        <v>74</v>
      </c>
      <c r="I335" t="s">
        <v>5153</v>
      </c>
      <c r="J335" t="s">
        <v>4380</v>
      </c>
      <c r="K335" t="s">
        <v>4381</v>
      </c>
      <c r="L335" t="s">
        <v>74</v>
      </c>
      <c r="M335" t="s">
        <v>77</v>
      </c>
      <c r="N335" t="s">
        <v>311</v>
      </c>
      <c r="O335" t="s">
        <v>4382</v>
      </c>
      <c r="P335" t="s">
        <v>4383</v>
      </c>
      <c r="Q335" t="s">
        <v>4384</v>
      </c>
      <c r="R335" t="s">
        <v>74</v>
      </c>
      <c r="S335" t="s">
        <v>4385</v>
      </c>
      <c r="T335" t="s">
        <v>74</v>
      </c>
      <c r="U335" t="s">
        <v>5154</v>
      </c>
      <c r="V335" t="s">
        <v>5155</v>
      </c>
      <c r="W335" t="s">
        <v>5156</v>
      </c>
      <c r="X335" t="s">
        <v>5157</v>
      </c>
      <c r="Y335" t="s">
        <v>5158</v>
      </c>
      <c r="Z335" t="s">
        <v>4486</v>
      </c>
      <c r="AA335" t="s">
        <v>5159</v>
      </c>
      <c r="AB335" t="s">
        <v>5160</v>
      </c>
      <c r="AC335" t="s">
        <v>74</v>
      </c>
      <c r="AD335" t="s">
        <v>74</v>
      </c>
      <c r="AE335" t="s">
        <v>74</v>
      </c>
      <c r="AF335" t="s">
        <v>74</v>
      </c>
      <c r="AG335">
        <v>45</v>
      </c>
      <c r="AH335">
        <v>12</v>
      </c>
      <c r="AI335">
        <v>14</v>
      </c>
      <c r="AJ335">
        <v>0</v>
      </c>
      <c r="AK335">
        <v>9</v>
      </c>
      <c r="AL335" t="s">
        <v>4393</v>
      </c>
      <c r="AM335" t="s">
        <v>824</v>
      </c>
      <c r="AN335" t="s">
        <v>4394</v>
      </c>
      <c r="AO335" t="s">
        <v>4395</v>
      </c>
      <c r="AP335" t="s">
        <v>74</v>
      </c>
      <c r="AQ335" t="s">
        <v>4396</v>
      </c>
      <c r="AR335" t="s">
        <v>4397</v>
      </c>
      <c r="AS335" t="s">
        <v>74</v>
      </c>
      <c r="AT335" t="s">
        <v>74</v>
      </c>
      <c r="AU335">
        <v>2004</v>
      </c>
      <c r="AV335">
        <v>39</v>
      </c>
      <c r="AW335" t="s">
        <v>74</v>
      </c>
      <c r="AX335" t="s">
        <v>74</v>
      </c>
      <c r="AY335" t="s">
        <v>74</v>
      </c>
      <c r="AZ335" t="s">
        <v>74</v>
      </c>
      <c r="BA335" t="s">
        <v>74</v>
      </c>
      <c r="BB335">
        <v>457</v>
      </c>
      <c r="BC335">
        <v>466</v>
      </c>
      <c r="BD335" t="s">
        <v>74</v>
      </c>
      <c r="BE335" t="s">
        <v>5161</v>
      </c>
      <c r="BF335" t="str">
        <f>HYPERLINK("http://dx.doi.org/10.3189/172756404781814096","http://dx.doi.org/10.3189/172756404781814096")</f>
        <v>http://dx.doi.org/10.3189/172756404781814096</v>
      </c>
      <c r="BG335" t="s">
        <v>74</v>
      </c>
      <c r="BH335" t="s">
        <v>74</v>
      </c>
      <c r="BI335">
        <v>10</v>
      </c>
      <c r="BJ335" t="s">
        <v>560</v>
      </c>
      <c r="BK335" t="s">
        <v>1116</v>
      </c>
      <c r="BL335" t="s">
        <v>561</v>
      </c>
      <c r="BM335" t="s">
        <v>4399</v>
      </c>
      <c r="BN335" t="s">
        <v>74</v>
      </c>
      <c r="BO335" t="s">
        <v>286</v>
      </c>
      <c r="BP335" t="s">
        <v>74</v>
      </c>
      <c r="BQ335" t="s">
        <v>74</v>
      </c>
      <c r="BR335" t="s">
        <v>99</v>
      </c>
      <c r="BS335" t="s">
        <v>5162</v>
      </c>
      <c r="BT335" t="str">
        <f>HYPERLINK("https%3A%2F%2Fwww.webofscience.com%2Fwos%2Fwoscc%2Ffull-record%2FWOS:000232368400069","View Full Record in Web of Science")</f>
        <v>View Full Record in Web of Science</v>
      </c>
    </row>
    <row r="336" spans="1:72" x14ac:dyDescent="0.15">
      <c r="A336" t="s">
        <v>497</v>
      </c>
      <c r="B336" t="s">
        <v>5163</v>
      </c>
      <c r="C336" t="s">
        <v>74</v>
      </c>
      <c r="D336" t="s">
        <v>4378</v>
      </c>
      <c r="E336" t="s">
        <v>74</v>
      </c>
      <c r="F336" t="s">
        <v>5163</v>
      </c>
      <c r="G336" t="s">
        <v>74</v>
      </c>
      <c r="H336" t="s">
        <v>74</v>
      </c>
      <c r="I336" t="s">
        <v>5164</v>
      </c>
      <c r="J336" t="s">
        <v>4380</v>
      </c>
      <c r="K336" t="s">
        <v>4381</v>
      </c>
      <c r="L336" t="s">
        <v>74</v>
      </c>
      <c r="M336" t="s">
        <v>77</v>
      </c>
      <c r="N336" t="s">
        <v>311</v>
      </c>
      <c r="O336" t="s">
        <v>4382</v>
      </c>
      <c r="P336" t="s">
        <v>4383</v>
      </c>
      <c r="Q336" t="s">
        <v>4384</v>
      </c>
      <c r="R336" t="s">
        <v>74</v>
      </c>
      <c r="S336" t="s">
        <v>4385</v>
      </c>
      <c r="T336" t="s">
        <v>74</v>
      </c>
      <c r="U336" t="s">
        <v>5165</v>
      </c>
      <c r="V336" t="s">
        <v>5166</v>
      </c>
      <c r="W336" t="s">
        <v>5167</v>
      </c>
      <c r="X336" t="s">
        <v>5168</v>
      </c>
      <c r="Y336" t="s">
        <v>5169</v>
      </c>
      <c r="Z336" t="s">
        <v>5170</v>
      </c>
      <c r="AA336" t="s">
        <v>5171</v>
      </c>
      <c r="AB336" t="s">
        <v>5172</v>
      </c>
      <c r="AC336" t="s">
        <v>74</v>
      </c>
      <c r="AD336" t="s">
        <v>74</v>
      </c>
      <c r="AE336" t="s">
        <v>74</v>
      </c>
      <c r="AF336" t="s">
        <v>74</v>
      </c>
      <c r="AG336">
        <v>39</v>
      </c>
      <c r="AH336">
        <v>14</v>
      </c>
      <c r="AI336">
        <v>15</v>
      </c>
      <c r="AJ336">
        <v>0</v>
      </c>
      <c r="AK336">
        <v>3</v>
      </c>
      <c r="AL336" t="s">
        <v>4393</v>
      </c>
      <c r="AM336" t="s">
        <v>824</v>
      </c>
      <c r="AN336" t="s">
        <v>4394</v>
      </c>
      <c r="AO336" t="s">
        <v>4395</v>
      </c>
      <c r="AP336" t="s">
        <v>74</v>
      </c>
      <c r="AQ336" t="s">
        <v>4396</v>
      </c>
      <c r="AR336" t="s">
        <v>4397</v>
      </c>
      <c r="AS336" t="s">
        <v>74</v>
      </c>
      <c r="AT336" t="s">
        <v>74</v>
      </c>
      <c r="AU336">
        <v>2004</v>
      </c>
      <c r="AV336">
        <v>39</v>
      </c>
      <c r="AW336" t="s">
        <v>74</v>
      </c>
      <c r="AX336" t="s">
        <v>74</v>
      </c>
      <c r="AY336" t="s">
        <v>74</v>
      </c>
      <c r="AZ336" t="s">
        <v>74</v>
      </c>
      <c r="BA336" t="s">
        <v>74</v>
      </c>
      <c r="BB336">
        <v>467</v>
      </c>
      <c r="BC336">
        <v>472</v>
      </c>
      <c r="BD336" t="s">
        <v>74</v>
      </c>
      <c r="BE336" t="s">
        <v>5173</v>
      </c>
      <c r="BF336" t="str">
        <f>HYPERLINK("http://dx.doi.org/10.3189/172756404781813899","http://dx.doi.org/10.3189/172756404781813899")</f>
        <v>http://dx.doi.org/10.3189/172756404781813899</v>
      </c>
      <c r="BG336" t="s">
        <v>74</v>
      </c>
      <c r="BH336" t="s">
        <v>74</v>
      </c>
      <c r="BI336">
        <v>6</v>
      </c>
      <c r="BJ336" t="s">
        <v>560</v>
      </c>
      <c r="BK336" t="s">
        <v>1116</v>
      </c>
      <c r="BL336" t="s">
        <v>561</v>
      </c>
      <c r="BM336" t="s">
        <v>4399</v>
      </c>
      <c r="BN336" t="s">
        <v>74</v>
      </c>
      <c r="BO336" t="s">
        <v>541</v>
      </c>
      <c r="BP336" t="s">
        <v>74</v>
      </c>
      <c r="BQ336" t="s">
        <v>74</v>
      </c>
      <c r="BR336" t="s">
        <v>99</v>
      </c>
      <c r="BS336" t="s">
        <v>5174</v>
      </c>
      <c r="BT336" t="str">
        <f>HYPERLINK("https%3A%2F%2Fwww.webofscience.com%2Fwos%2Fwoscc%2Ffull-record%2FWOS:000232368400070","View Full Record in Web of Science")</f>
        <v>View Full Record in Web of Science</v>
      </c>
    </row>
    <row r="337" spans="1:72" x14ac:dyDescent="0.15">
      <c r="A337" t="s">
        <v>497</v>
      </c>
      <c r="B337" t="s">
        <v>5175</v>
      </c>
      <c r="C337" t="s">
        <v>74</v>
      </c>
      <c r="D337" t="s">
        <v>4378</v>
      </c>
      <c r="E337" t="s">
        <v>74</v>
      </c>
      <c r="F337" t="s">
        <v>5175</v>
      </c>
      <c r="G337" t="s">
        <v>74</v>
      </c>
      <c r="H337" t="s">
        <v>74</v>
      </c>
      <c r="I337" t="s">
        <v>5176</v>
      </c>
      <c r="J337" t="s">
        <v>4380</v>
      </c>
      <c r="K337" t="s">
        <v>4381</v>
      </c>
      <c r="L337" t="s">
        <v>74</v>
      </c>
      <c r="M337" t="s">
        <v>77</v>
      </c>
      <c r="N337" t="s">
        <v>311</v>
      </c>
      <c r="O337" t="s">
        <v>4382</v>
      </c>
      <c r="P337" t="s">
        <v>4383</v>
      </c>
      <c r="Q337" t="s">
        <v>4384</v>
      </c>
      <c r="R337" t="s">
        <v>74</v>
      </c>
      <c r="S337" t="s">
        <v>4385</v>
      </c>
      <c r="T337" t="s">
        <v>74</v>
      </c>
      <c r="U337" t="s">
        <v>5177</v>
      </c>
      <c r="V337" t="s">
        <v>5178</v>
      </c>
      <c r="W337" t="s">
        <v>5179</v>
      </c>
      <c r="X337" t="s">
        <v>5180</v>
      </c>
      <c r="Y337" t="s">
        <v>5181</v>
      </c>
      <c r="Z337" t="s">
        <v>5182</v>
      </c>
      <c r="AA337" t="s">
        <v>5183</v>
      </c>
      <c r="AB337" t="s">
        <v>5184</v>
      </c>
      <c r="AC337" t="s">
        <v>74</v>
      </c>
      <c r="AD337" t="s">
        <v>74</v>
      </c>
      <c r="AE337" t="s">
        <v>74</v>
      </c>
      <c r="AF337" t="s">
        <v>74</v>
      </c>
      <c r="AG337">
        <v>40</v>
      </c>
      <c r="AH337">
        <v>34</v>
      </c>
      <c r="AI337">
        <v>37</v>
      </c>
      <c r="AJ337">
        <v>0</v>
      </c>
      <c r="AK337">
        <v>8</v>
      </c>
      <c r="AL337" t="s">
        <v>4393</v>
      </c>
      <c r="AM337" t="s">
        <v>824</v>
      </c>
      <c r="AN337" t="s">
        <v>4394</v>
      </c>
      <c r="AO337" t="s">
        <v>4395</v>
      </c>
      <c r="AP337" t="s">
        <v>74</v>
      </c>
      <c r="AQ337" t="s">
        <v>4396</v>
      </c>
      <c r="AR337" t="s">
        <v>4397</v>
      </c>
      <c r="AS337" t="s">
        <v>74</v>
      </c>
      <c r="AT337" t="s">
        <v>74</v>
      </c>
      <c r="AU337">
        <v>2004</v>
      </c>
      <c r="AV337">
        <v>39</v>
      </c>
      <c r="AW337" t="s">
        <v>74</v>
      </c>
      <c r="AX337" t="s">
        <v>74</v>
      </c>
      <c r="AY337" t="s">
        <v>74</v>
      </c>
      <c r="AZ337" t="s">
        <v>74</v>
      </c>
      <c r="BA337" t="s">
        <v>74</v>
      </c>
      <c r="BB337">
        <v>473</v>
      </c>
      <c r="BC337">
        <v>482</v>
      </c>
      <c r="BD337" t="s">
        <v>74</v>
      </c>
      <c r="BE337" t="s">
        <v>5185</v>
      </c>
      <c r="BF337" t="str">
        <f>HYPERLINK("http://dx.doi.org/10.3189/172756404781814636","http://dx.doi.org/10.3189/172756404781814636")</f>
        <v>http://dx.doi.org/10.3189/172756404781814636</v>
      </c>
      <c r="BG337" t="s">
        <v>74</v>
      </c>
      <c r="BH337" t="s">
        <v>74</v>
      </c>
      <c r="BI337">
        <v>10</v>
      </c>
      <c r="BJ337" t="s">
        <v>560</v>
      </c>
      <c r="BK337" t="s">
        <v>1116</v>
      </c>
      <c r="BL337" t="s">
        <v>561</v>
      </c>
      <c r="BM337" t="s">
        <v>4399</v>
      </c>
      <c r="BN337" t="s">
        <v>74</v>
      </c>
      <c r="BO337" t="s">
        <v>516</v>
      </c>
      <c r="BP337" t="s">
        <v>74</v>
      </c>
      <c r="BQ337" t="s">
        <v>74</v>
      </c>
      <c r="BR337" t="s">
        <v>99</v>
      </c>
      <c r="BS337" t="s">
        <v>5186</v>
      </c>
      <c r="BT337" t="str">
        <f>HYPERLINK("https%3A%2F%2Fwww.webofscience.com%2Fwos%2Fwoscc%2Ffull-record%2FWOS:000232368400071","View Full Record in Web of Science")</f>
        <v>View Full Record in Web of Science</v>
      </c>
    </row>
    <row r="338" spans="1:72" x14ac:dyDescent="0.15">
      <c r="A338" t="s">
        <v>497</v>
      </c>
      <c r="B338" t="s">
        <v>5187</v>
      </c>
      <c r="C338" t="s">
        <v>74</v>
      </c>
      <c r="D338" t="s">
        <v>4378</v>
      </c>
      <c r="E338" t="s">
        <v>74</v>
      </c>
      <c r="F338" t="s">
        <v>5187</v>
      </c>
      <c r="G338" t="s">
        <v>74</v>
      </c>
      <c r="H338" t="s">
        <v>74</v>
      </c>
      <c r="I338" t="s">
        <v>5188</v>
      </c>
      <c r="J338" t="s">
        <v>4380</v>
      </c>
      <c r="K338" t="s">
        <v>4381</v>
      </c>
      <c r="L338" t="s">
        <v>74</v>
      </c>
      <c r="M338" t="s">
        <v>77</v>
      </c>
      <c r="N338" t="s">
        <v>311</v>
      </c>
      <c r="O338" t="s">
        <v>4382</v>
      </c>
      <c r="P338" t="s">
        <v>4383</v>
      </c>
      <c r="Q338" t="s">
        <v>4384</v>
      </c>
      <c r="R338" t="s">
        <v>74</v>
      </c>
      <c r="S338" t="s">
        <v>4385</v>
      </c>
      <c r="T338" t="s">
        <v>74</v>
      </c>
      <c r="U338" t="s">
        <v>5189</v>
      </c>
      <c r="V338" t="s">
        <v>5190</v>
      </c>
      <c r="W338" t="s">
        <v>5191</v>
      </c>
      <c r="X338" t="s">
        <v>5192</v>
      </c>
      <c r="Y338" t="s">
        <v>5193</v>
      </c>
      <c r="Z338" t="s">
        <v>5194</v>
      </c>
      <c r="AA338" t="s">
        <v>5195</v>
      </c>
      <c r="AB338" t="s">
        <v>74</v>
      </c>
      <c r="AC338" t="s">
        <v>74</v>
      </c>
      <c r="AD338" t="s">
        <v>74</v>
      </c>
      <c r="AE338" t="s">
        <v>74</v>
      </c>
      <c r="AF338" t="s">
        <v>74</v>
      </c>
      <c r="AG338">
        <v>21</v>
      </c>
      <c r="AH338">
        <v>1</v>
      </c>
      <c r="AI338">
        <v>1</v>
      </c>
      <c r="AJ338">
        <v>1</v>
      </c>
      <c r="AK338">
        <v>4</v>
      </c>
      <c r="AL338" t="s">
        <v>4393</v>
      </c>
      <c r="AM338" t="s">
        <v>824</v>
      </c>
      <c r="AN338" t="s">
        <v>4394</v>
      </c>
      <c r="AO338" t="s">
        <v>4395</v>
      </c>
      <c r="AP338" t="s">
        <v>74</v>
      </c>
      <c r="AQ338" t="s">
        <v>4396</v>
      </c>
      <c r="AR338" t="s">
        <v>4397</v>
      </c>
      <c r="AS338" t="s">
        <v>74</v>
      </c>
      <c r="AT338" t="s">
        <v>74</v>
      </c>
      <c r="AU338">
        <v>2004</v>
      </c>
      <c r="AV338">
        <v>39</v>
      </c>
      <c r="AW338" t="s">
        <v>74</v>
      </c>
      <c r="AX338" t="s">
        <v>74</v>
      </c>
      <c r="AY338" t="s">
        <v>74</v>
      </c>
      <c r="AZ338" t="s">
        <v>74</v>
      </c>
      <c r="BA338" t="s">
        <v>74</v>
      </c>
      <c r="BB338">
        <v>483</v>
      </c>
      <c r="BC338">
        <v>489</v>
      </c>
      <c r="BD338" t="s">
        <v>74</v>
      </c>
      <c r="BE338" t="s">
        <v>5196</v>
      </c>
      <c r="BF338" t="str">
        <f>HYPERLINK("http://dx.doi.org/10.3189/172756404781814140","http://dx.doi.org/10.3189/172756404781814140")</f>
        <v>http://dx.doi.org/10.3189/172756404781814140</v>
      </c>
      <c r="BG338" t="s">
        <v>74</v>
      </c>
      <c r="BH338" t="s">
        <v>74</v>
      </c>
      <c r="BI338">
        <v>7</v>
      </c>
      <c r="BJ338" t="s">
        <v>560</v>
      </c>
      <c r="BK338" t="s">
        <v>1116</v>
      </c>
      <c r="BL338" t="s">
        <v>561</v>
      </c>
      <c r="BM338" t="s">
        <v>4399</v>
      </c>
      <c r="BN338" t="s">
        <v>74</v>
      </c>
      <c r="BO338" t="s">
        <v>516</v>
      </c>
      <c r="BP338" t="s">
        <v>74</v>
      </c>
      <c r="BQ338" t="s">
        <v>74</v>
      </c>
      <c r="BR338" t="s">
        <v>99</v>
      </c>
      <c r="BS338" t="s">
        <v>5197</v>
      </c>
      <c r="BT338" t="str">
        <f>HYPERLINK("https%3A%2F%2Fwww.webofscience.com%2Fwos%2Fwoscc%2Ffull-record%2FWOS:000232368400072","View Full Record in Web of Science")</f>
        <v>View Full Record in Web of Science</v>
      </c>
    </row>
    <row r="339" spans="1:72" x14ac:dyDescent="0.15">
      <c r="A339" t="s">
        <v>497</v>
      </c>
      <c r="B339" t="s">
        <v>5198</v>
      </c>
      <c r="C339" t="s">
        <v>74</v>
      </c>
      <c r="D339" t="s">
        <v>4378</v>
      </c>
      <c r="E339" t="s">
        <v>74</v>
      </c>
      <c r="F339" t="s">
        <v>5198</v>
      </c>
      <c r="G339" t="s">
        <v>74</v>
      </c>
      <c r="H339" t="s">
        <v>74</v>
      </c>
      <c r="I339" t="s">
        <v>5199</v>
      </c>
      <c r="J339" t="s">
        <v>4380</v>
      </c>
      <c r="K339" t="s">
        <v>4381</v>
      </c>
      <c r="L339" t="s">
        <v>74</v>
      </c>
      <c r="M339" t="s">
        <v>77</v>
      </c>
      <c r="N339" t="s">
        <v>311</v>
      </c>
      <c r="O339" t="s">
        <v>4382</v>
      </c>
      <c r="P339" t="s">
        <v>4383</v>
      </c>
      <c r="Q339" t="s">
        <v>4384</v>
      </c>
      <c r="R339" t="s">
        <v>74</v>
      </c>
      <c r="S339" t="s">
        <v>4385</v>
      </c>
      <c r="T339" t="s">
        <v>74</v>
      </c>
      <c r="U339" t="s">
        <v>5200</v>
      </c>
      <c r="V339" t="s">
        <v>5201</v>
      </c>
      <c r="W339" t="s">
        <v>5202</v>
      </c>
      <c r="X339" t="s">
        <v>2252</v>
      </c>
      <c r="Y339" t="s">
        <v>5203</v>
      </c>
      <c r="Z339" t="s">
        <v>5204</v>
      </c>
      <c r="AA339" t="s">
        <v>5205</v>
      </c>
      <c r="AB339" t="s">
        <v>5206</v>
      </c>
      <c r="AC339" t="s">
        <v>5207</v>
      </c>
      <c r="AD339" t="s">
        <v>637</v>
      </c>
      <c r="AE339" t="s">
        <v>74</v>
      </c>
      <c r="AF339" t="s">
        <v>74</v>
      </c>
      <c r="AG339">
        <v>17</v>
      </c>
      <c r="AH339">
        <v>6</v>
      </c>
      <c r="AI339">
        <v>6</v>
      </c>
      <c r="AJ339">
        <v>0</v>
      </c>
      <c r="AK339">
        <v>4</v>
      </c>
      <c r="AL339" t="s">
        <v>4393</v>
      </c>
      <c r="AM339" t="s">
        <v>824</v>
      </c>
      <c r="AN339" t="s">
        <v>4394</v>
      </c>
      <c r="AO339" t="s">
        <v>4395</v>
      </c>
      <c r="AP339" t="s">
        <v>74</v>
      </c>
      <c r="AQ339" t="s">
        <v>4396</v>
      </c>
      <c r="AR339" t="s">
        <v>4397</v>
      </c>
      <c r="AS339" t="s">
        <v>74</v>
      </c>
      <c r="AT339" t="s">
        <v>74</v>
      </c>
      <c r="AU339">
        <v>2004</v>
      </c>
      <c r="AV339">
        <v>39</v>
      </c>
      <c r="AW339" t="s">
        <v>74</v>
      </c>
      <c r="AX339" t="s">
        <v>74</v>
      </c>
      <c r="AY339" t="s">
        <v>74</v>
      </c>
      <c r="AZ339" t="s">
        <v>74</v>
      </c>
      <c r="BA339" t="s">
        <v>74</v>
      </c>
      <c r="BB339">
        <v>490</v>
      </c>
      <c r="BC339">
        <v>494</v>
      </c>
      <c r="BD339" t="s">
        <v>74</v>
      </c>
      <c r="BE339" t="s">
        <v>5208</v>
      </c>
      <c r="BF339" t="str">
        <f>HYPERLINK("http://dx.doi.org/10.3189/172756404781813853","http://dx.doi.org/10.3189/172756404781813853")</f>
        <v>http://dx.doi.org/10.3189/172756404781813853</v>
      </c>
      <c r="BG339" t="s">
        <v>74</v>
      </c>
      <c r="BH339" t="s">
        <v>74</v>
      </c>
      <c r="BI339">
        <v>5</v>
      </c>
      <c r="BJ339" t="s">
        <v>560</v>
      </c>
      <c r="BK339" t="s">
        <v>1116</v>
      </c>
      <c r="BL339" t="s">
        <v>561</v>
      </c>
      <c r="BM339" t="s">
        <v>4399</v>
      </c>
      <c r="BN339" t="s">
        <v>74</v>
      </c>
      <c r="BO339" t="s">
        <v>516</v>
      </c>
      <c r="BP339" t="s">
        <v>74</v>
      </c>
      <c r="BQ339" t="s">
        <v>74</v>
      </c>
      <c r="BR339" t="s">
        <v>99</v>
      </c>
      <c r="BS339" t="s">
        <v>5209</v>
      </c>
      <c r="BT339" t="str">
        <f>HYPERLINK("https%3A%2F%2Fwww.webofscience.com%2Fwos%2Fwoscc%2Ffull-record%2FWOS:000232368400073","View Full Record in Web of Science")</f>
        <v>View Full Record in Web of Science</v>
      </c>
    </row>
    <row r="340" spans="1:72" x14ac:dyDescent="0.15">
      <c r="A340" t="s">
        <v>497</v>
      </c>
      <c r="B340" t="s">
        <v>5210</v>
      </c>
      <c r="C340" t="s">
        <v>74</v>
      </c>
      <c r="D340" t="s">
        <v>4378</v>
      </c>
      <c r="E340" t="s">
        <v>74</v>
      </c>
      <c r="F340" t="s">
        <v>5210</v>
      </c>
      <c r="G340" t="s">
        <v>74</v>
      </c>
      <c r="H340" t="s">
        <v>74</v>
      </c>
      <c r="I340" t="s">
        <v>5211</v>
      </c>
      <c r="J340" t="s">
        <v>4380</v>
      </c>
      <c r="K340" t="s">
        <v>4381</v>
      </c>
      <c r="L340" t="s">
        <v>74</v>
      </c>
      <c r="M340" t="s">
        <v>77</v>
      </c>
      <c r="N340" t="s">
        <v>311</v>
      </c>
      <c r="O340" t="s">
        <v>4382</v>
      </c>
      <c r="P340" t="s">
        <v>4383</v>
      </c>
      <c r="Q340" t="s">
        <v>4384</v>
      </c>
      <c r="R340" t="s">
        <v>74</v>
      </c>
      <c r="S340" t="s">
        <v>4385</v>
      </c>
      <c r="T340" t="s">
        <v>74</v>
      </c>
      <c r="U340" t="s">
        <v>5212</v>
      </c>
      <c r="V340" t="s">
        <v>5213</v>
      </c>
      <c r="W340" t="s">
        <v>5214</v>
      </c>
      <c r="X340" t="s">
        <v>5215</v>
      </c>
      <c r="Y340" t="s">
        <v>5216</v>
      </c>
      <c r="Z340" t="s">
        <v>2770</v>
      </c>
      <c r="AA340" t="s">
        <v>74</v>
      </c>
      <c r="AB340" t="s">
        <v>74</v>
      </c>
      <c r="AC340" t="s">
        <v>74</v>
      </c>
      <c r="AD340" t="s">
        <v>74</v>
      </c>
      <c r="AE340" t="s">
        <v>74</v>
      </c>
      <c r="AF340" t="s">
        <v>74</v>
      </c>
      <c r="AG340">
        <v>40</v>
      </c>
      <c r="AH340">
        <v>12</v>
      </c>
      <c r="AI340">
        <v>12</v>
      </c>
      <c r="AJ340">
        <v>0</v>
      </c>
      <c r="AK340">
        <v>6</v>
      </c>
      <c r="AL340" t="s">
        <v>4393</v>
      </c>
      <c r="AM340" t="s">
        <v>824</v>
      </c>
      <c r="AN340" t="s">
        <v>4394</v>
      </c>
      <c r="AO340" t="s">
        <v>4395</v>
      </c>
      <c r="AP340" t="s">
        <v>74</v>
      </c>
      <c r="AQ340" t="s">
        <v>4396</v>
      </c>
      <c r="AR340" t="s">
        <v>4397</v>
      </c>
      <c r="AS340" t="s">
        <v>74</v>
      </c>
      <c r="AT340" t="s">
        <v>74</v>
      </c>
      <c r="AU340">
        <v>2004</v>
      </c>
      <c r="AV340">
        <v>39</v>
      </c>
      <c r="AW340" t="s">
        <v>74</v>
      </c>
      <c r="AX340" t="s">
        <v>74</v>
      </c>
      <c r="AY340" t="s">
        <v>74</v>
      </c>
      <c r="AZ340" t="s">
        <v>74</v>
      </c>
      <c r="BA340" t="s">
        <v>74</v>
      </c>
      <c r="BB340">
        <v>495</v>
      </c>
      <c r="BC340">
        <v>500</v>
      </c>
      <c r="BD340" t="s">
        <v>74</v>
      </c>
      <c r="BE340" t="s">
        <v>5217</v>
      </c>
      <c r="BF340" t="str">
        <f>HYPERLINK("http://dx.doi.org/10.3189/172756404781814726","http://dx.doi.org/10.3189/172756404781814726")</f>
        <v>http://dx.doi.org/10.3189/172756404781814726</v>
      </c>
      <c r="BG340" t="s">
        <v>74</v>
      </c>
      <c r="BH340" t="s">
        <v>74</v>
      </c>
      <c r="BI340">
        <v>6</v>
      </c>
      <c r="BJ340" t="s">
        <v>560</v>
      </c>
      <c r="BK340" t="s">
        <v>1116</v>
      </c>
      <c r="BL340" t="s">
        <v>561</v>
      </c>
      <c r="BM340" t="s">
        <v>4399</v>
      </c>
      <c r="BN340" t="s">
        <v>74</v>
      </c>
      <c r="BO340" t="s">
        <v>516</v>
      </c>
      <c r="BP340" t="s">
        <v>74</v>
      </c>
      <c r="BQ340" t="s">
        <v>74</v>
      </c>
      <c r="BR340" t="s">
        <v>99</v>
      </c>
      <c r="BS340" t="s">
        <v>5218</v>
      </c>
      <c r="BT340" t="str">
        <f>HYPERLINK("https%3A%2F%2Fwww.webofscience.com%2Fwos%2Fwoscc%2Ffull-record%2FWOS:000232368400074","View Full Record in Web of Science")</f>
        <v>View Full Record in Web of Science</v>
      </c>
    </row>
    <row r="341" spans="1:72" x14ac:dyDescent="0.15">
      <c r="A341" t="s">
        <v>497</v>
      </c>
      <c r="B341" t="s">
        <v>5219</v>
      </c>
      <c r="C341" t="s">
        <v>74</v>
      </c>
      <c r="D341" t="s">
        <v>4378</v>
      </c>
      <c r="E341" t="s">
        <v>74</v>
      </c>
      <c r="F341" t="s">
        <v>5219</v>
      </c>
      <c r="G341" t="s">
        <v>74</v>
      </c>
      <c r="H341" t="s">
        <v>74</v>
      </c>
      <c r="I341" t="s">
        <v>5220</v>
      </c>
      <c r="J341" t="s">
        <v>4380</v>
      </c>
      <c r="K341" t="s">
        <v>4381</v>
      </c>
      <c r="L341" t="s">
        <v>74</v>
      </c>
      <c r="M341" t="s">
        <v>77</v>
      </c>
      <c r="N341" t="s">
        <v>311</v>
      </c>
      <c r="O341" t="s">
        <v>4382</v>
      </c>
      <c r="P341" t="s">
        <v>4383</v>
      </c>
      <c r="Q341" t="s">
        <v>4384</v>
      </c>
      <c r="R341" t="s">
        <v>74</v>
      </c>
      <c r="S341" t="s">
        <v>4385</v>
      </c>
      <c r="T341" t="s">
        <v>74</v>
      </c>
      <c r="U341" t="s">
        <v>5221</v>
      </c>
      <c r="V341" t="s">
        <v>5222</v>
      </c>
      <c r="W341" t="s">
        <v>5223</v>
      </c>
      <c r="X341" t="s">
        <v>5224</v>
      </c>
      <c r="Y341" t="s">
        <v>5225</v>
      </c>
      <c r="Z341" t="s">
        <v>5226</v>
      </c>
      <c r="AA341" t="s">
        <v>5227</v>
      </c>
      <c r="AB341" t="s">
        <v>5228</v>
      </c>
      <c r="AC341" t="s">
        <v>74</v>
      </c>
      <c r="AD341" t="s">
        <v>74</v>
      </c>
      <c r="AE341" t="s">
        <v>74</v>
      </c>
      <c r="AF341" t="s">
        <v>74</v>
      </c>
      <c r="AG341">
        <v>16</v>
      </c>
      <c r="AH341">
        <v>2</v>
      </c>
      <c r="AI341">
        <v>2</v>
      </c>
      <c r="AJ341">
        <v>0</v>
      </c>
      <c r="AK341">
        <v>0</v>
      </c>
      <c r="AL341" t="s">
        <v>4393</v>
      </c>
      <c r="AM341" t="s">
        <v>824</v>
      </c>
      <c r="AN341" t="s">
        <v>4394</v>
      </c>
      <c r="AO341" t="s">
        <v>4395</v>
      </c>
      <c r="AP341" t="s">
        <v>74</v>
      </c>
      <c r="AQ341" t="s">
        <v>4396</v>
      </c>
      <c r="AR341" t="s">
        <v>4397</v>
      </c>
      <c r="AS341" t="s">
        <v>74</v>
      </c>
      <c r="AT341" t="s">
        <v>74</v>
      </c>
      <c r="AU341">
        <v>2004</v>
      </c>
      <c r="AV341">
        <v>39</v>
      </c>
      <c r="AW341" t="s">
        <v>74</v>
      </c>
      <c r="AX341" t="s">
        <v>74</v>
      </c>
      <c r="AY341" t="s">
        <v>74</v>
      </c>
      <c r="AZ341" t="s">
        <v>74</v>
      </c>
      <c r="BA341" t="s">
        <v>74</v>
      </c>
      <c r="BB341">
        <v>501</v>
      </c>
      <c r="BC341">
        <v>504</v>
      </c>
      <c r="BD341" t="s">
        <v>74</v>
      </c>
      <c r="BE341" t="s">
        <v>5229</v>
      </c>
      <c r="BF341" t="str">
        <f>HYPERLINK("http://dx.doi.org/10.3189/172756404781814528","http://dx.doi.org/10.3189/172756404781814528")</f>
        <v>http://dx.doi.org/10.3189/172756404781814528</v>
      </c>
      <c r="BG341" t="s">
        <v>74</v>
      </c>
      <c r="BH341" t="s">
        <v>74</v>
      </c>
      <c r="BI341">
        <v>4</v>
      </c>
      <c r="BJ341" t="s">
        <v>560</v>
      </c>
      <c r="BK341" t="s">
        <v>1116</v>
      </c>
      <c r="BL341" t="s">
        <v>561</v>
      </c>
      <c r="BM341" t="s">
        <v>4399</v>
      </c>
      <c r="BN341" t="s">
        <v>74</v>
      </c>
      <c r="BO341" t="s">
        <v>541</v>
      </c>
      <c r="BP341" t="s">
        <v>74</v>
      </c>
      <c r="BQ341" t="s">
        <v>74</v>
      </c>
      <c r="BR341" t="s">
        <v>99</v>
      </c>
      <c r="BS341" t="s">
        <v>5230</v>
      </c>
      <c r="BT341" t="str">
        <f>HYPERLINK("https%3A%2F%2Fwww.webofscience.com%2Fwos%2Fwoscc%2Ffull-record%2FWOS:000232368400075","View Full Record in Web of Science")</f>
        <v>View Full Record in Web of Science</v>
      </c>
    </row>
    <row r="342" spans="1:72" x14ac:dyDescent="0.15">
      <c r="A342" t="s">
        <v>497</v>
      </c>
      <c r="B342" t="s">
        <v>5231</v>
      </c>
      <c r="C342" t="s">
        <v>74</v>
      </c>
      <c r="D342" t="s">
        <v>4378</v>
      </c>
      <c r="E342" t="s">
        <v>74</v>
      </c>
      <c r="F342" t="s">
        <v>5231</v>
      </c>
      <c r="G342" t="s">
        <v>74</v>
      </c>
      <c r="H342" t="s">
        <v>74</v>
      </c>
      <c r="I342" t="s">
        <v>5232</v>
      </c>
      <c r="J342" t="s">
        <v>4380</v>
      </c>
      <c r="K342" t="s">
        <v>4381</v>
      </c>
      <c r="L342" t="s">
        <v>74</v>
      </c>
      <c r="M342" t="s">
        <v>77</v>
      </c>
      <c r="N342" t="s">
        <v>311</v>
      </c>
      <c r="O342" t="s">
        <v>4382</v>
      </c>
      <c r="P342" t="s">
        <v>4383</v>
      </c>
      <c r="Q342" t="s">
        <v>4384</v>
      </c>
      <c r="R342" t="s">
        <v>74</v>
      </c>
      <c r="S342" t="s">
        <v>4385</v>
      </c>
      <c r="T342" t="s">
        <v>74</v>
      </c>
      <c r="U342" t="s">
        <v>5233</v>
      </c>
      <c r="V342" t="s">
        <v>5234</v>
      </c>
      <c r="W342" t="s">
        <v>5235</v>
      </c>
      <c r="X342" t="s">
        <v>5236</v>
      </c>
      <c r="Y342" t="s">
        <v>4902</v>
      </c>
      <c r="Z342" t="s">
        <v>5237</v>
      </c>
      <c r="AA342" t="s">
        <v>5238</v>
      </c>
      <c r="AB342" t="s">
        <v>5239</v>
      </c>
      <c r="AC342" t="s">
        <v>74</v>
      </c>
      <c r="AD342" t="s">
        <v>74</v>
      </c>
      <c r="AE342" t="s">
        <v>74</v>
      </c>
      <c r="AF342" t="s">
        <v>74</v>
      </c>
      <c r="AG342">
        <v>19</v>
      </c>
      <c r="AH342">
        <v>125</v>
      </c>
      <c r="AI342">
        <v>145</v>
      </c>
      <c r="AJ342">
        <v>2</v>
      </c>
      <c r="AK342">
        <v>18</v>
      </c>
      <c r="AL342" t="s">
        <v>4393</v>
      </c>
      <c r="AM342" t="s">
        <v>824</v>
      </c>
      <c r="AN342" t="s">
        <v>4394</v>
      </c>
      <c r="AO342" t="s">
        <v>4395</v>
      </c>
      <c r="AP342" t="s">
        <v>74</v>
      </c>
      <c r="AQ342" t="s">
        <v>4396</v>
      </c>
      <c r="AR342" t="s">
        <v>4397</v>
      </c>
      <c r="AS342" t="s">
        <v>74</v>
      </c>
      <c r="AT342" t="s">
        <v>74</v>
      </c>
      <c r="AU342">
        <v>2004</v>
      </c>
      <c r="AV342">
        <v>39</v>
      </c>
      <c r="AW342" t="s">
        <v>74</v>
      </c>
      <c r="AX342" t="s">
        <v>74</v>
      </c>
      <c r="AY342" t="s">
        <v>74</v>
      </c>
      <c r="AZ342" t="s">
        <v>74</v>
      </c>
      <c r="BA342" t="s">
        <v>74</v>
      </c>
      <c r="BB342">
        <v>505</v>
      </c>
      <c r="BC342">
        <v>510</v>
      </c>
      <c r="BD342" t="s">
        <v>74</v>
      </c>
      <c r="BE342" t="s">
        <v>5240</v>
      </c>
      <c r="BF342" t="str">
        <f>HYPERLINK("http://dx.doi.org/10.3189/172756404781814005","http://dx.doi.org/10.3189/172756404781814005")</f>
        <v>http://dx.doi.org/10.3189/172756404781814005</v>
      </c>
      <c r="BG342" t="s">
        <v>74</v>
      </c>
      <c r="BH342" t="s">
        <v>74</v>
      </c>
      <c r="BI342">
        <v>6</v>
      </c>
      <c r="BJ342" t="s">
        <v>560</v>
      </c>
      <c r="BK342" t="s">
        <v>1116</v>
      </c>
      <c r="BL342" t="s">
        <v>561</v>
      </c>
      <c r="BM342" t="s">
        <v>4399</v>
      </c>
      <c r="BN342" t="s">
        <v>74</v>
      </c>
      <c r="BO342" t="s">
        <v>156</v>
      </c>
      <c r="BP342" t="s">
        <v>74</v>
      </c>
      <c r="BQ342" t="s">
        <v>74</v>
      </c>
      <c r="BR342" t="s">
        <v>99</v>
      </c>
      <c r="BS342" t="s">
        <v>5241</v>
      </c>
      <c r="BT342" t="str">
        <f>HYPERLINK("https%3A%2F%2Fwww.webofscience.com%2Fwos%2Fwoscc%2Ffull-record%2FWOS:000232368400076","View Full Record in Web of Science")</f>
        <v>View Full Record in Web of Science</v>
      </c>
    </row>
    <row r="343" spans="1:72" x14ac:dyDescent="0.15">
      <c r="A343" t="s">
        <v>497</v>
      </c>
      <c r="B343" t="s">
        <v>5242</v>
      </c>
      <c r="C343" t="s">
        <v>74</v>
      </c>
      <c r="D343" t="s">
        <v>4378</v>
      </c>
      <c r="E343" t="s">
        <v>74</v>
      </c>
      <c r="F343" t="s">
        <v>5242</v>
      </c>
      <c r="G343" t="s">
        <v>74</v>
      </c>
      <c r="H343" t="s">
        <v>74</v>
      </c>
      <c r="I343" t="s">
        <v>5243</v>
      </c>
      <c r="J343" t="s">
        <v>4380</v>
      </c>
      <c r="K343" t="s">
        <v>4381</v>
      </c>
      <c r="L343" t="s">
        <v>74</v>
      </c>
      <c r="M343" t="s">
        <v>77</v>
      </c>
      <c r="N343" t="s">
        <v>311</v>
      </c>
      <c r="O343" t="s">
        <v>4382</v>
      </c>
      <c r="P343" t="s">
        <v>4383</v>
      </c>
      <c r="Q343" t="s">
        <v>4384</v>
      </c>
      <c r="R343" t="s">
        <v>74</v>
      </c>
      <c r="S343" t="s">
        <v>4385</v>
      </c>
      <c r="T343" t="s">
        <v>74</v>
      </c>
      <c r="U343" t="s">
        <v>5244</v>
      </c>
      <c r="V343" t="s">
        <v>5245</v>
      </c>
      <c r="W343" t="s">
        <v>5246</v>
      </c>
      <c r="X343" t="s">
        <v>5247</v>
      </c>
      <c r="Y343" t="s">
        <v>5248</v>
      </c>
      <c r="Z343" t="s">
        <v>5249</v>
      </c>
      <c r="AA343" t="s">
        <v>5250</v>
      </c>
      <c r="AB343" t="s">
        <v>5251</v>
      </c>
      <c r="AC343" t="s">
        <v>74</v>
      </c>
      <c r="AD343" t="s">
        <v>74</v>
      </c>
      <c r="AE343" t="s">
        <v>74</v>
      </c>
      <c r="AF343" t="s">
        <v>74</v>
      </c>
      <c r="AG343">
        <v>29</v>
      </c>
      <c r="AH343">
        <v>12</v>
      </c>
      <c r="AI343">
        <v>16</v>
      </c>
      <c r="AJ343">
        <v>0</v>
      </c>
      <c r="AK343">
        <v>10</v>
      </c>
      <c r="AL343" t="s">
        <v>4393</v>
      </c>
      <c r="AM343" t="s">
        <v>824</v>
      </c>
      <c r="AN343" t="s">
        <v>4394</v>
      </c>
      <c r="AO343" t="s">
        <v>4395</v>
      </c>
      <c r="AP343" t="s">
        <v>74</v>
      </c>
      <c r="AQ343" t="s">
        <v>4396</v>
      </c>
      <c r="AR343" t="s">
        <v>4397</v>
      </c>
      <c r="AS343" t="s">
        <v>74</v>
      </c>
      <c r="AT343" t="s">
        <v>74</v>
      </c>
      <c r="AU343">
        <v>2004</v>
      </c>
      <c r="AV343">
        <v>39</v>
      </c>
      <c r="AW343" t="s">
        <v>74</v>
      </c>
      <c r="AX343" t="s">
        <v>74</v>
      </c>
      <c r="AY343" t="s">
        <v>74</v>
      </c>
      <c r="AZ343" t="s">
        <v>74</v>
      </c>
      <c r="BA343" t="s">
        <v>74</v>
      </c>
      <c r="BB343">
        <v>511</v>
      </c>
      <c r="BC343">
        <v>517</v>
      </c>
      <c r="BD343" t="s">
        <v>74</v>
      </c>
      <c r="BE343" t="s">
        <v>5252</v>
      </c>
      <c r="BF343" t="str">
        <f>HYPERLINK("http://dx.doi.org/10.3189/172756404781814717","http://dx.doi.org/10.3189/172756404781814717")</f>
        <v>http://dx.doi.org/10.3189/172756404781814717</v>
      </c>
      <c r="BG343" t="s">
        <v>74</v>
      </c>
      <c r="BH343" t="s">
        <v>74</v>
      </c>
      <c r="BI343">
        <v>7</v>
      </c>
      <c r="BJ343" t="s">
        <v>560</v>
      </c>
      <c r="BK343" t="s">
        <v>1116</v>
      </c>
      <c r="BL343" t="s">
        <v>561</v>
      </c>
      <c r="BM343" t="s">
        <v>4399</v>
      </c>
      <c r="BN343" t="s">
        <v>74</v>
      </c>
      <c r="BO343" t="s">
        <v>541</v>
      </c>
      <c r="BP343" t="s">
        <v>74</v>
      </c>
      <c r="BQ343" t="s">
        <v>74</v>
      </c>
      <c r="BR343" t="s">
        <v>99</v>
      </c>
      <c r="BS343" t="s">
        <v>5253</v>
      </c>
      <c r="BT343" t="str">
        <f>HYPERLINK("https%3A%2F%2Fwww.webofscience.com%2Fwos%2Fwoscc%2Ffull-record%2FWOS:000232368400077","View Full Record in Web of Science")</f>
        <v>View Full Record in Web of Science</v>
      </c>
    </row>
    <row r="344" spans="1:72" x14ac:dyDescent="0.15">
      <c r="A344" t="s">
        <v>497</v>
      </c>
      <c r="B344" t="s">
        <v>5254</v>
      </c>
      <c r="C344" t="s">
        <v>74</v>
      </c>
      <c r="D344" t="s">
        <v>4378</v>
      </c>
      <c r="E344" t="s">
        <v>74</v>
      </c>
      <c r="F344" t="s">
        <v>5254</v>
      </c>
      <c r="G344" t="s">
        <v>74</v>
      </c>
      <c r="H344" t="s">
        <v>74</v>
      </c>
      <c r="I344" t="s">
        <v>5255</v>
      </c>
      <c r="J344" t="s">
        <v>4380</v>
      </c>
      <c r="K344" t="s">
        <v>4381</v>
      </c>
      <c r="L344" t="s">
        <v>74</v>
      </c>
      <c r="M344" t="s">
        <v>77</v>
      </c>
      <c r="N344" t="s">
        <v>311</v>
      </c>
      <c r="O344" t="s">
        <v>4382</v>
      </c>
      <c r="P344" t="s">
        <v>4383</v>
      </c>
      <c r="Q344" t="s">
        <v>4384</v>
      </c>
      <c r="R344" t="s">
        <v>74</v>
      </c>
      <c r="S344" t="s">
        <v>4385</v>
      </c>
      <c r="T344" t="s">
        <v>74</v>
      </c>
      <c r="U344" t="s">
        <v>5256</v>
      </c>
      <c r="V344" t="s">
        <v>5257</v>
      </c>
      <c r="W344" t="s">
        <v>5258</v>
      </c>
      <c r="X344" t="s">
        <v>5259</v>
      </c>
      <c r="Y344" t="s">
        <v>5260</v>
      </c>
      <c r="Z344" t="s">
        <v>5261</v>
      </c>
      <c r="AA344" t="s">
        <v>74</v>
      </c>
      <c r="AB344" t="s">
        <v>5262</v>
      </c>
      <c r="AC344" t="s">
        <v>5263</v>
      </c>
      <c r="AD344" t="s">
        <v>5264</v>
      </c>
      <c r="AE344" t="s">
        <v>74</v>
      </c>
      <c r="AF344" t="s">
        <v>74</v>
      </c>
      <c r="AG344">
        <v>29</v>
      </c>
      <c r="AH344">
        <v>13</v>
      </c>
      <c r="AI344">
        <v>16</v>
      </c>
      <c r="AJ344">
        <v>1</v>
      </c>
      <c r="AK344">
        <v>11</v>
      </c>
      <c r="AL344" t="s">
        <v>4393</v>
      </c>
      <c r="AM344" t="s">
        <v>824</v>
      </c>
      <c r="AN344" t="s">
        <v>4394</v>
      </c>
      <c r="AO344" t="s">
        <v>4395</v>
      </c>
      <c r="AP344" t="s">
        <v>74</v>
      </c>
      <c r="AQ344" t="s">
        <v>4396</v>
      </c>
      <c r="AR344" t="s">
        <v>4397</v>
      </c>
      <c r="AS344" t="s">
        <v>74</v>
      </c>
      <c r="AT344" t="s">
        <v>74</v>
      </c>
      <c r="AU344">
        <v>2004</v>
      </c>
      <c r="AV344">
        <v>39</v>
      </c>
      <c r="AW344" t="s">
        <v>74</v>
      </c>
      <c r="AX344" t="s">
        <v>74</v>
      </c>
      <c r="AY344" t="s">
        <v>74</v>
      </c>
      <c r="AZ344" t="s">
        <v>74</v>
      </c>
      <c r="BA344" t="s">
        <v>74</v>
      </c>
      <c r="BB344">
        <v>518</v>
      </c>
      <c r="BC344">
        <v>524</v>
      </c>
      <c r="BD344" t="s">
        <v>74</v>
      </c>
      <c r="BE344" t="s">
        <v>5265</v>
      </c>
      <c r="BF344" t="str">
        <f>HYPERLINK("http://dx.doi.org/10.3189/172756404781814465","http://dx.doi.org/10.3189/172756404781814465")</f>
        <v>http://dx.doi.org/10.3189/172756404781814465</v>
      </c>
      <c r="BG344" t="s">
        <v>74</v>
      </c>
      <c r="BH344" t="s">
        <v>74</v>
      </c>
      <c r="BI344">
        <v>7</v>
      </c>
      <c r="BJ344" t="s">
        <v>560</v>
      </c>
      <c r="BK344" t="s">
        <v>1116</v>
      </c>
      <c r="BL344" t="s">
        <v>561</v>
      </c>
      <c r="BM344" t="s">
        <v>4399</v>
      </c>
      <c r="BN344" t="s">
        <v>74</v>
      </c>
      <c r="BO344" t="s">
        <v>541</v>
      </c>
      <c r="BP344" t="s">
        <v>74</v>
      </c>
      <c r="BQ344" t="s">
        <v>74</v>
      </c>
      <c r="BR344" t="s">
        <v>99</v>
      </c>
      <c r="BS344" t="s">
        <v>5266</v>
      </c>
      <c r="BT344" t="str">
        <f>HYPERLINK("https%3A%2F%2Fwww.webofscience.com%2Fwos%2Fwoscc%2Ffull-record%2FWOS:000232368400078","View Full Record in Web of Science")</f>
        <v>View Full Record in Web of Science</v>
      </c>
    </row>
    <row r="345" spans="1:72" x14ac:dyDescent="0.15">
      <c r="A345" t="s">
        <v>497</v>
      </c>
      <c r="B345" t="s">
        <v>5267</v>
      </c>
      <c r="C345" t="s">
        <v>74</v>
      </c>
      <c r="D345" t="s">
        <v>4378</v>
      </c>
      <c r="E345" t="s">
        <v>74</v>
      </c>
      <c r="F345" t="s">
        <v>5267</v>
      </c>
      <c r="G345" t="s">
        <v>74</v>
      </c>
      <c r="H345" t="s">
        <v>74</v>
      </c>
      <c r="I345" t="s">
        <v>5268</v>
      </c>
      <c r="J345" t="s">
        <v>4380</v>
      </c>
      <c r="K345" t="s">
        <v>4381</v>
      </c>
      <c r="L345" t="s">
        <v>74</v>
      </c>
      <c r="M345" t="s">
        <v>77</v>
      </c>
      <c r="N345" t="s">
        <v>311</v>
      </c>
      <c r="O345" t="s">
        <v>4382</v>
      </c>
      <c r="P345" t="s">
        <v>4383</v>
      </c>
      <c r="Q345" t="s">
        <v>4384</v>
      </c>
      <c r="R345" t="s">
        <v>74</v>
      </c>
      <c r="S345" t="s">
        <v>4385</v>
      </c>
      <c r="T345" t="s">
        <v>74</v>
      </c>
      <c r="U345" t="s">
        <v>5269</v>
      </c>
      <c r="V345" t="s">
        <v>5270</v>
      </c>
      <c r="W345" t="s">
        <v>5271</v>
      </c>
      <c r="X345" t="s">
        <v>5272</v>
      </c>
      <c r="Y345" t="s">
        <v>5273</v>
      </c>
      <c r="Z345" t="s">
        <v>5274</v>
      </c>
      <c r="AA345" t="s">
        <v>5275</v>
      </c>
      <c r="AB345" t="s">
        <v>5276</v>
      </c>
      <c r="AC345" t="s">
        <v>74</v>
      </c>
      <c r="AD345" t="s">
        <v>74</v>
      </c>
      <c r="AE345" t="s">
        <v>74</v>
      </c>
      <c r="AF345" t="s">
        <v>74</v>
      </c>
      <c r="AG345">
        <v>21</v>
      </c>
      <c r="AH345">
        <v>42</v>
      </c>
      <c r="AI345">
        <v>44</v>
      </c>
      <c r="AJ345">
        <v>0</v>
      </c>
      <c r="AK345">
        <v>9</v>
      </c>
      <c r="AL345" t="s">
        <v>4393</v>
      </c>
      <c r="AM345" t="s">
        <v>824</v>
      </c>
      <c r="AN345" t="s">
        <v>4394</v>
      </c>
      <c r="AO345" t="s">
        <v>4395</v>
      </c>
      <c r="AP345" t="s">
        <v>74</v>
      </c>
      <c r="AQ345" t="s">
        <v>4396</v>
      </c>
      <c r="AR345" t="s">
        <v>4397</v>
      </c>
      <c r="AS345" t="s">
        <v>74</v>
      </c>
      <c r="AT345" t="s">
        <v>74</v>
      </c>
      <c r="AU345">
        <v>2004</v>
      </c>
      <c r="AV345">
        <v>39</v>
      </c>
      <c r="AW345" t="s">
        <v>74</v>
      </c>
      <c r="AX345" t="s">
        <v>74</v>
      </c>
      <c r="AY345" t="s">
        <v>74</v>
      </c>
      <c r="AZ345" t="s">
        <v>74</v>
      </c>
      <c r="BA345" t="s">
        <v>74</v>
      </c>
      <c r="BB345">
        <v>525</v>
      </c>
      <c r="BC345">
        <v>530</v>
      </c>
      <c r="BD345" t="s">
        <v>74</v>
      </c>
      <c r="BE345" t="s">
        <v>5277</v>
      </c>
      <c r="BF345" t="str">
        <f>HYPERLINK("http://dx.doi.org/10.3189/172756404781814212","http://dx.doi.org/10.3189/172756404781814212")</f>
        <v>http://dx.doi.org/10.3189/172756404781814212</v>
      </c>
      <c r="BG345" t="s">
        <v>74</v>
      </c>
      <c r="BH345" t="s">
        <v>74</v>
      </c>
      <c r="BI345">
        <v>6</v>
      </c>
      <c r="BJ345" t="s">
        <v>560</v>
      </c>
      <c r="BK345" t="s">
        <v>1116</v>
      </c>
      <c r="BL345" t="s">
        <v>561</v>
      </c>
      <c r="BM345" t="s">
        <v>4399</v>
      </c>
      <c r="BN345" t="s">
        <v>74</v>
      </c>
      <c r="BO345" t="s">
        <v>541</v>
      </c>
      <c r="BP345" t="s">
        <v>74</v>
      </c>
      <c r="BQ345" t="s">
        <v>74</v>
      </c>
      <c r="BR345" t="s">
        <v>99</v>
      </c>
      <c r="BS345" t="s">
        <v>5278</v>
      </c>
      <c r="BT345" t="str">
        <f>HYPERLINK("https%3A%2F%2Fwww.webofscience.com%2Fwos%2Fwoscc%2Ffull-record%2FWOS:000232368400079","View Full Record in Web of Science")</f>
        <v>View Full Record in Web of Science</v>
      </c>
    </row>
    <row r="346" spans="1:72" x14ac:dyDescent="0.15">
      <c r="A346" t="s">
        <v>497</v>
      </c>
      <c r="B346" t="s">
        <v>5279</v>
      </c>
      <c r="C346" t="s">
        <v>74</v>
      </c>
      <c r="D346" t="s">
        <v>4378</v>
      </c>
      <c r="E346" t="s">
        <v>74</v>
      </c>
      <c r="F346" t="s">
        <v>5279</v>
      </c>
      <c r="G346" t="s">
        <v>74</v>
      </c>
      <c r="H346" t="s">
        <v>74</v>
      </c>
      <c r="I346" t="s">
        <v>5280</v>
      </c>
      <c r="J346" t="s">
        <v>4380</v>
      </c>
      <c r="K346" t="s">
        <v>4381</v>
      </c>
      <c r="L346" t="s">
        <v>74</v>
      </c>
      <c r="M346" t="s">
        <v>77</v>
      </c>
      <c r="N346" t="s">
        <v>311</v>
      </c>
      <c r="O346" t="s">
        <v>4382</v>
      </c>
      <c r="P346" t="s">
        <v>4383</v>
      </c>
      <c r="Q346" t="s">
        <v>4384</v>
      </c>
      <c r="R346" t="s">
        <v>74</v>
      </c>
      <c r="S346" t="s">
        <v>4385</v>
      </c>
      <c r="T346" t="s">
        <v>74</v>
      </c>
      <c r="U346" t="s">
        <v>5281</v>
      </c>
      <c r="V346" t="s">
        <v>5282</v>
      </c>
      <c r="W346" t="s">
        <v>5283</v>
      </c>
      <c r="X346" t="s">
        <v>5284</v>
      </c>
      <c r="Y346" t="s">
        <v>5285</v>
      </c>
      <c r="Z346" t="s">
        <v>5286</v>
      </c>
      <c r="AA346" t="s">
        <v>5287</v>
      </c>
      <c r="AB346" t="s">
        <v>5288</v>
      </c>
      <c r="AC346" t="s">
        <v>74</v>
      </c>
      <c r="AD346" t="s">
        <v>74</v>
      </c>
      <c r="AE346" t="s">
        <v>74</v>
      </c>
      <c r="AF346" t="s">
        <v>74</v>
      </c>
      <c r="AG346">
        <v>44</v>
      </c>
      <c r="AH346">
        <v>38</v>
      </c>
      <c r="AI346">
        <v>40</v>
      </c>
      <c r="AJ346">
        <v>0</v>
      </c>
      <c r="AK346">
        <v>7</v>
      </c>
      <c r="AL346" t="s">
        <v>4393</v>
      </c>
      <c r="AM346" t="s">
        <v>824</v>
      </c>
      <c r="AN346" t="s">
        <v>4394</v>
      </c>
      <c r="AO346" t="s">
        <v>4395</v>
      </c>
      <c r="AP346" t="s">
        <v>74</v>
      </c>
      <c r="AQ346" t="s">
        <v>4396</v>
      </c>
      <c r="AR346" t="s">
        <v>4397</v>
      </c>
      <c r="AS346" t="s">
        <v>74</v>
      </c>
      <c r="AT346" t="s">
        <v>74</v>
      </c>
      <c r="AU346">
        <v>2004</v>
      </c>
      <c r="AV346">
        <v>39</v>
      </c>
      <c r="AW346" t="s">
        <v>74</v>
      </c>
      <c r="AX346" t="s">
        <v>74</v>
      </c>
      <c r="AY346" t="s">
        <v>74</v>
      </c>
      <c r="AZ346" t="s">
        <v>74</v>
      </c>
      <c r="BA346" t="s">
        <v>74</v>
      </c>
      <c r="BB346">
        <v>531</v>
      </c>
      <c r="BC346">
        <v>539</v>
      </c>
      <c r="BD346" t="s">
        <v>74</v>
      </c>
      <c r="BE346" t="s">
        <v>5289</v>
      </c>
      <c r="BF346" t="str">
        <f>HYPERLINK("http://dx.doi.org/10.3189/172756404781814311","http://dx.doi.org/10.3189/172756404781814311")</f>
        <v>http://dx.doi.org/10.3189/172756404781814311</v>
      </c>
      <c r="BG346" t="s">
        <v>74</v>
      </c>
      <c r="BH346" t="s">
        <v>74</v>
      </c>
      <c r="BI346">
        <v>9</v>
      </c>
      <c r="BJ346" t="s">
        <v>560</v>
      </c>
      <c r="BK346" t="s">
        <v>1116</v>
      </c>
      <c r="BL346" t="s">
        <v>561</v>
      </c>
      <c r="BM346" t="s">
        <v>4399</v>
      </c>
      <c r="BN346" t="s">
        <v>74</v>
      </c>
      <c r="BO346" t="s">
        <v>541</v>
      </c>
      <c r="BP346" t="s">
        <v>74</v>
      </c>
      <c r="BQ346" t="s">
        <v>74</v>
      </c>
      <c r="BR346" t="s">
        <v>99</v>
      </c>
      <c r="BS346" t="s">
        <v>5290</v>
      </c>
      <c r="BT346" t="str">
        <f>HYPERLINK("https%3A%2F%2Fwww.webofscience.com%2Fwos%2Fwoscc%2Ffull-record%2FWOS:000232368400080","View Full Record in Web of Science")</f>
        <v>View Full Record in Web of Science</v>
      </c>
    </row>
    <row r="347" spans="1:72" x14ac:dyDescent="0.15">
      <c r="A347" t="s">
        <v>497</v>
      </c>
      <c r="B347" t="s">
        <v>5291</v>
      </c>
      <c r="C347" t="s">
        <v>74</v>
      </c>
      <c r="D347" t="s">
        <v>4378</v>
      </c>
      <c r="E347" t="s">
        <v>74</v>
      </c>
      <c r="F347" t="s">
        <v>5291</v>
      </c>
      <c r="G347" t="s">
        <v>74</v>
      </c>
      <c r="H347" t="s">
        <v>74</v>
      </c>
      <c r="I347" t="s">
        <v>5292</v>
      </c>
      <c r="J347" t="s">
        <v>4380</v>
      </c>
      <c r="K347" t="s">
        <v>4381</v>
      </c>
      <c r="L347" t="s">
        <v>74</v>
      </c>
      <c r="M347" t="s">
        <v>77</v>
      </c>
      <c r="N347" t="s">
        <v>311</v>
      </c>
      <c r="O347" t="s">
        <v>4382</v>
      </c>
      <c r="P347" t="s">
        <v>4383</v>
      </c>
      <c r="Q347" t="s">
        <v>4384</v>
      </c>
      <c r="R347" t="s">
        <v>74</v>
      </c>
      <c r="S347" t="s">
        <v>4385</v>
      </c>
      <c r="T347" t="s">
        <v>74</v>
      </c>
      <c r="U347" t="s">
        <v>5293</v>
      </c>
      <c r="V347" t="s">
        <v>5294</v>
      </c>
      <c r="W347" t="s">
        <v>5295</v>
      </c>
      <c r="X347" t="s">
        <v>1808</v>
      </c>
      <c r="Y347" t="s">
        <v>5296</v>
      </c>
      <c r="Z347" t="s">
        <v>5297</v>
      </c>
      <c r="AA347" t="s">
        <v>4452</v>
      </c>
      <c r="AB347" t="s">
        <v>4453</v>
      </c>
      <c r="AC347" t="s">
        <v>74</v>
      </c>
      <c r="AD347" t="s">
        <v>74</v>
      </c>
      <c r="AE347" t="s">
        <v>74</v>
      </c>
      <c r="AF347" t="s">
        <v>74</v>
      </c>
      <c r="AG347">
        <v>18</v>
      </c>
      <c r="AH347">
        <v>11</v>
      </c>
      <c r="AI347">
        <v>12</v>
      </c>
      <c r="AJ347">
        <v>0</v>
      </c>
      <c r="AK347">
        <v>3</v>
      </c>
      <c r="AL347" t="s">
        <v>4393</v>
      </c>
      <c r="AM347" t="s">
        <v>824</v>
      </c>
      <c r="AN347" t="s">
        <v>4394</v>
      </c>
      <c r="AO347" t="s">
        <v>4395</v>
      </c>
      <c r="AP347" t="s">
        <v>74</v>
      </c>
      <c r="AQ347" t="s">
        <v>4396</v>
      </c>
      <c r="AR347" t="s">
        <v>4397</v>
      </c>
      <c r="AS347" t="s">
        <v>74</v>
      </c>
      <c r="AT347" t="s">
        <v>74</v>
      </c>
      <c r="AU347">
        <v>2004</v>
      </c>
      <c r="AV347">
        <v>39</v>
      </c>
      <c r="AW347" t="s">
        <v>74</v>
      </c>
      <c r="AX347" t="s">
        <v>74</v>
      </c>
      <c r="AY347" t="s">
        <v>74</v>
      </c>
      <c r="AZ347" t="s">
        <v>74</v>
      </c>
      <c r="BA347" t="s">
        <v>74</v>
      </c>
      <c r="BB347">
        <v>540</v>
      </c>
      <c r="BC347">
        <v>544</v>
      </c>
      <c r="BD347" t="s">
        <v>74</v>
      </c>
      <c r="BE347" t="s">
        <v>5298</v>
      </c>
      <c r="BF347" t="str">
        <f>HYPERLINK("http://dx.doi.org/10.3189/172756404781814645","http://dx.doi.org/10.3189/172756404781814645")</f>
        <v>http://dx.doi.org/10.3189/172756404781814645</v>
      </c>
      <c r="BG347" t="s">
        <v>74</v>
      </c>
      <c r="BH347" t="s">
        <v>74</v>
      </c>
      <c r="BI347">
        <v>5</v>
      </c>
      <c r="BJ347" t="s">
        <v>560</v>
      </c>
      <c r="BK347" t="s">
        <v>1116</v>
      </c>
      <c r="BL347" t="s">
        <v>561</v>
      </c>
      <c r="BM347" t="s">
        <v>4399</v>
      </c>
      <c r="BN347" t="s">
        <v>74</v>
      </c>
      <c r="BO347" t="s">
        <v>541</v>
      </c>
      <c r="BP347" t="s">
        <v>74</v>
      </c>
      <c r="BQ347" t="s">
        <v>74</v>
      </c>
      <c r="BR347" t="s">
        <v>99</v>
      </c>
      <c r="BS347" t="s">
        <v>5299</v>
      </c>
      <c r="BT347" t="str">
        <f>HYPERLINK("https%3A%2F%2Fwww.webofscience.com%2Fwos%2Fwoscc%2Ffull-record%2FWOS:000232368400081","View Full Record in Web of Science")</f>
        <v>View Full Record in Web of Science</v>
      </c>
    </row>
    <row r="348" spans="1:72" x14ac:dyDescent="0.15">
      <c r="A348" t="s">
        <v>497</v>
      </c>
      <c r="B348" t="s">
        <v>5300</v>
      </c>
      <c r="C348" t="s">
        <v>74</v>
      </c>
      <c r="D348" t="s">
        <v>4378</v>
      </c>
      <c r="E348" t="s">
        <v>74</v>
      </c>
      <c r="F348" t="s">
        <v>5300</v>
      </c>
      <c r="G348" t="s">
        <v>74</v>
      </c>
      <c r="H348" t="s">
        <v>74</v>
      </c>
      <c r="I348" t="s">
        <v>5301</v>
      </c>
      <c r="J348" t="s">
        <v>4380</v>
      </c>
      <c r="K348" t="s">
        <v>4381</v>
      </c>
      <c r="L348" t="s">
        <v>74</v>
      </c>
      <c r="M348" t="s">
        <v>77</v>
      </c>
      <c r="N348" t="s">
        <v>311</v>
      </c>
      <c r="O348" t="s">
        <v>4382</v>
      </c>
      <c r="P348" t="s">
        <v>4383</v>
      </c>
      <c r="Q348" t="s">
        <v>4384</v>
      </c>
      <c r="R348" t="s">
        <v>74</v>
      </c>
      <c r="S348" t="s">
        <v>4385</v>
      </c>
      <c r="T348" t="s">
        <v>74</v>
      </c>
      <c r="U348" t="s">
        <v>5302</v>
      </c>
      <c r="V348" t="s">
        <v>5303</v>
      </c>
      <c r="W348" t="s">
        <v>4745</v>
      </c>
      <c r="X348" t="s">
        <v>1181</v>
      </c>
      <c r="Y348" t="s">
        <v>5304</v>
      </c>
      <c r="Z348" t="s">
        <v>5305</v>
      </c>
      <c r="AA348" t="s">
        <v>4661</v>
      </c>
      <c r="AB348" t="s">
        <v>74</v>
      </c>
      <c r="AC348" t="s">
        <v>74</v>
      </c>
      <c r="AD348" t="s">
        <v>74</v>
      </c>
      <c r="AE348" t="s">
        <v>74</v>
      </c>
      <c r="AF348" t="s">
        <v>74</v>
      </c>
      <c r="AG348">
        <v>45</v>
      </c>
      <c r="AH348">
        <v>39</v>
      </c>
      <c r="AI348">
        <v>46</v>
      </c>
      <c r="AJ348">
        <v>0</v>
      </c>
      <c r="AK348">
        <v>7</v>
      </c>
      <c r="AL348" t="s">
        <v>4393</v>
      </c>
      <c r="AM348" t="s">
        <v>824</v>
      </c>
      <c r="AN348" t="s">
        <v>4394</v>
      </c>
      <c r="AO348" t="s">
        <v>4395</v>
      </c>
      <c r="AP348" t="s">
        <v>74</v>
      </c>
      <c r="AQ348" t="s">
        <v>4396</v>
      </c>
      <c r="AR348" t="s">
        <v>4397</v>
      </c>
      <c r="AS348" t="s">
        <v>74</v>
      </c>
      <c r="AT348" t="s">
        <v>74</v>
      </c>
      <c r="AU348">
        <v>2004</v>
      </c>
      <c r="AV348">
        <v>39</v>
      </c>
      <c r="AW348" t="s">
        <v>74</v>
      </c>
      <c r="AX348" t="s">
        <v>74</v>
      </c>
      <c r="AY348" t="s">
        <v>74</v>
      </c>
      <c r="AZ348" t="s">
        <v>74</v>
      </c>
      <c r="BA348" t="s">
        <v>74</v>
      </c>
      <c r="BB348">
        <v>545</v>
      </c>
      <c r="BC348">
        <v>556</v>
      </c>
      <c r="BD348" t="s">
        <v>74</v>
      </c>
      <c r="BE348" t="s">
        <v>5306</v>
      </c>
      <c r="BF348" t="str">
        <f>HYPERLINK("http://dx.doi.org/10.3189/172756404781814113","http://dx.doi.org/10.3189/172756404781814113")</f>
        <v>http://dx.doi.org/10.3189/172756404781814113</v>
      </c>
      <c r="BG348" t="s">
        <v>74</v>
      </c>
      <c r="BH348" t="s">
        <v>74</v>
      </c>
      <c r="BI348">
        <v>12</v>
      </c>
      <c r="BJ348" t="s">
        <v>560</v>
      </c>
      <c r="BK348" t="s">
        <v>1116</v>
      </c>
      <c r="BL348" t="s">
        <v>561</v>
      </c>
      <c r="BM348" t="s">
        <v>4399</v>
      </c>
      <c r="BN348" t="s">
        <v>74</v>
      </c>
      <c r="BO348" t="s">
        <v>541</v>
      </c>
      <c r="BP348" t="s">
        <v>74</v>
      </c>
      <c r="BQ348" t="s">
        <v>74</v>
      </c>
      <c r="BR348" t="s">
        <v>99</v>
      </c>
      <c r="BS348" t="s">
        <v>5307</v>
      </c>
      <c r="BT348" t="str">
        <f>HYPERLINK("https%3A%2F%2Fwww.webofscience.com%2Fwos%2Fwoscc%2Ffull-record%2FWOS:000232368400082","View Full Record in Web of Science")</f>
        <v>View Full Record in Web of Science</v>
      </c>
    </row>
    <row r="349" spans="1:72" x14ac:dyDescent="0.15">
      <c r="A349" t="s">
        <v>497</v>
      </c>
      <c r="B349" t="s">
        <v>5308</v>
      </c>
      <c r="C349" t="s">
        <v>74</v>
      </c>
      <c r="D349" t="s">
        <v>4378</v>
      </c>
      <c r="E349" t="s">
        <v>74</v>
      </c>
      <c r="F349" t="s">
        <v>5308</v>
      </c>
      <c r="G349" t="s">
        <v>74</v>
      </c>
      <c r="H349" t="s">
        <v>74</v>
      </c>
      <c r="I349" t="s">
        <v>5309</v>
      </c>
      <c r="J349" t="s">
        <v>4380</v>
      </c>
      <c r="K349" t="s">
        <v>4381</v>
      </c>
      <c r="L349" t="s">
        <v>74</v>
      </c>
      <c r="M349" t="s">
        <v>77</v>
      </c>
      <c r="N349" t="s">
        <v>311</v>
      </c>
      <c r="O349" t="s">
        <v>4382</v>
      </c>
      <c r="P349" t="s">
        <v>4383</v>
      </c>
      <c r="Q349" t="s">
        <v>4384</v>
      </c>
      <c r="R349" t="s">
        <v>74</v>
      </c>
      <c r="S349" t="s">
        <v>4385</v>
      </c>
      <c r="T349" t="s">
        <v>74</v>
      </c>
      <c r="U349" t="s">
        <v>5310</v>
      </c>
      <c r="V349" t="s">
        <v>5311</v>
      </c>
      <c r="W349" t="s">
        <v>5312</v>
      </c>
      <c r="X349" t="s">
        <v>4734</v>
      </c>
      <c r="Y349" t="s">
        <v>5313</v>
      </c>
      <c r="Z349" t="s">
        <v>4736</v>
      </c>
      <c r="AA349" t="s">
        <v>5314</v>
      </c>
      <c r="AB349" t="s">
        <v>4738</v>
      </c>
      <c r="AC349" t="s">
        <v>74</v>
      </c>
      <c r="AD349" t="s">
        <v>74</v>
      </c>
      <c r="AE349" t="s">
        <v>74</v>
      </c>
      <c r="AF349" t="s">
        <v>74</v>
      </c>
      <c r="AG349">
        <v>26</v>
      </c>
      <c r="AH349">
        <v>20</v>
      </c>
      <c r="AI349">
        <v>23</v>
      </c>
      <c r="AJ349">
        <v>1</v>
      </c>
      <c r="AK349">
        <v>15</v>
      </c>
      <c r="AL349" t="s">
        <v>4393</v>
      </c>
      <c r="AM349" t="s">
        <v>824</v>
      </c>
      <c r="AN349" t="s">
        <v>4394</v>
      </c>
      <c r="AO349" t="s">
        <v>4395</v>
      </c>
      <c r="AP349" t="s">
        <v>74</v>
      </c>
      <c r="AQ349" t="s">
        <v>4396</v>
      </c>
      <c r="AR349" t="s">
        <v>4397</v>
      </c>
      <c r="AS349" t="s">
        <v>74</v>
      </c>
      <c r="AT349" t="s">
        <v>74</v>
      </c>
      <c r="AU349">
        <v>2004</v>
      </c>
      <c r="AV349">
        <v>39</v>
      </c>
      <c r="AW349" t="s">
        <v>74</v>
      </c>
      <c r="AX349" t="s">
        <v>74</v>
      </c>
      <c r="AY349" t="s">
        <v>74</v>
      </c>
      <c r="AZ349" t="s">
        <v>74</v>
      </c>
      <c r="BA349" t="s">
        <v>74</v>
      </c>
      <c r="BB349">
        <v>557</v>
      </c>
      <c r="BC349">
        <v>562</v>
      </c>
      <c r="BD349" t="s">
        <v>74</v>
      </c>
      <c r="BE349" t="s">
        <v>5315</v>
      </c>
      <c r="BF349" t="str">
        <f>HYPERLINK("http://dx.doi.org/10.3189/172756404781814573","http://dx.doi.org/10.3189/172756404781814573")</f>
        <v>http://dx.doi.org/10.3189/172756404781814573</v>
      </c>
      <c r="BG349" t="s">
        <v>74</v>
      </c>
      <c r="BH349" t="s">
        <v>74</v>
      </c>
      <c r="BI349">
        <v>6</v>
      </c>
      <c r="BJ349" t="s">
        <v>560</v>
      </c>
      <c r="BK349" t="s">
        <v>1116</v>
      </c>
      <c r="BL349" t="s">
        <v>561</v>
      </c>
      <c r="BM349" t="s">
        <v>4399</v>
      </c>
      <c r="BN349" t="s">
        <v>74</v>
      </c>
      <c r="BO349" t="s">
        <v>541</v>
      </c>
      <c r="BP349" t="s">
        <v>74</v>
      </c>
      <c r="BQ349" t="s">
        <v>74</v>
      </c>
      <c r="BR349" t="s">
        <v>99</v>
      </c>
      <c r="BS349" t="s">
        <v>5316</v>
      </c>
      <c r="BT349" t="str">
        <f>HYPERLINK("https%3A%2F%2Fwww.webofscience.com%2Fwos%2Fwoscc%2Ffull-record%2FWOS:000232368400083","View Full Record in Web of Science")</f>
        <v>View Full Record in Web of Science</v>
      </c>
    </row>
    <row r="350" spans="1:72" x14ac:dyDescent="0.15">
      <c r="A350" t="s">
        <v>497</v>
      </c>
      <c r="B350" t="s">
        <v>5317</v>
      </c>
      <c r="C350" t="s">
        <v>74</v>
      </c>
      <c r="D350" t="s">
        <v>4378</v>
      </c>
      <c r="E350" t="s">
        <v>74</v>
      </c>
      <c r="F350" t="s">
        <v>5317</v>
      </c>
      <c r="G350" t="s">
        <v>74</v>
      </c>
      <c r="H350" t="s">
        <v>74</v>
      </c>
      <c r="I350" t="s">
        <v>5318</v>
      </c>
      <c r="J350" t="s">
        <v>4380</v>
      </c>
      <c r="K350" t="s">
        <v>4381</v>
      </c>
      <c r="L350" t="s">
        <v>74</v>
      </c>
      <c r="M350" t="s">
        <v>77</v>
      </c>
      <c r="N350" t="s">
        <v>311</v>
      </c>
      <c r="O350" t="s">
        <v>4382</v>
      </c>
      <c r="P350" t="s">
        <v>4383</v>
      </c>
      <c r="Q350" t="s">
        <v>4384</v>
      </c>
      <c r="R350" t="s">
        <v>74</v>
      </c>
      <c r="S350" t="s">
        <v>4385</v>
      </c>
      <c r="T350" t="s">
        <v>74</v>
      </c>
      <c r="U350" t="s">
        <v>5319</v>
      </c>
      <c r="V350" t="s">
        <v>5320</v>
      </c>
      <c r="W350" t="s">
        <v>5321</v>
      </c>
      <c r="X350" t="s">
        <v>5322</v>
      </c>
      <c r="Y350" t="s">
        <v>5323</v>
      </c>
      <c r="Z350" t="s">
        <v>5324</v>
      </c>
      <c r="AA350" t="s">
        <v>5325</v>
      </c>
      <c r="AB350" t="s">
        <v>5326</v>
      </c>
      <c r="AC350" t="s">
        <v>74</v>
      </c>
      <c r="AD350" t="s">
        <v>74</v>
      </c>
      <c r="AE350" t="s">
        <v>74</v>
      </c>
      <c r="AF350" t="s">
        <v>74</v>
      </c>
      <c r="AG350">
        <v>17</v>
      </c>
      <c r="AH350">
        <v>19</v>
      </c>
      <c r="AI350">
        <v>20</v>
      </c>
      <c r="AJ350">
        <v>0</v>
      </c>
      <c r="AK350">
        <v>1</v>
      </c>
      <c r="AL350" t="s">
        <v>4393</v>
      </c>
      <c r="AM350" t="s">
        <v>824</v>
      </c>
      <c r="AN350" t="s">
        <v>4394</v>
      </c>
      <c r="AO350" t="s">
        <v>4395</v>
      </c>
      <c r="AP350" t="s">
        <v>74</v>
      </c>
      <c r="AQ350" t="s">
        <v>4396</v>
      </c>
      <c r="AR350" t="s">
        <v>4397</v>
      </c>
      <c r="AS350" t="s">
        <v>74</v>
      </c>
      <c r="AT350" t="s">
        <v>74</v>
      </c>
      <c r="AU350">
        <v>2004</v>
      </c>
      <c r="AV350">
        <v>39</v>
      </c>
      <c r="AW350" t="s">
        <v>74</v>
      </c>
      <c r="AX350" t="s">
        <v>74</v>
      </c>
      <c r="AY350" t="s">
        <v>74</v>
      </c>
      <c r="AZ350" t="s">
        <v>74</v>
      </c>
      <c r="BA350" t="s">
        <v>74</v>
      </c>
      <c r="BB350">
        <v>563</v>
      </c>
      <c r="BC350">
        <v>568</v>
      </c>
      <c r="BD350" t="s">
        <v>74</v>
      </c>
      <c r="BE350" t="s">
        <v>5327</v>
      </c>
      <c r="BF350" t="str">
        <f>HYPERLINK("http://dx.doi.org/10.3189/172756404781814168","http://dx.doi.org/10.3189/172756404781814168")</f>
        <v>http://dx.doi.org/10.3189/172756404781814168</v>
      </c>
      <c r="BG350" t="s">
        <v>74</v>
      </c>
      <c r="BH350" t="s">
        <v>74</v>
      </c>
      <c r="BI350">
        <v>6</v>
      </c>
      <c r="BJ350" t="s">
        <v>560</v>
      </c>
      <c r="BK350" t="s">
        <v>1116</v>
      </c>
      <c r="BL350" t="s">
        <v>561</v>
      </c>
      <c r="BM350" t="s">
        <v>4399</v>
      </c>
      <c r="BN350" t="s">
        <v>74</v>
      </c>
      <c r="BO350" t="s">
        <v>541</v>
      </c>
      <c r="BP350" t="s">
        <v>74</v>
      </c>
      <c r="BQ350" t="s">
        <v>74</v>
      </c>
      <c r="BR350" t="s">
        <v>99</v>
      </c>
      <c r="BS350" t="s">
        <v>5328</v>
      </c>
      <c r="BT350" t="str">
        <f>HYPERLINK("https%3A%2F%2Fwww.webofscience.com%2Fwos%2Fwoscc%2Ffull-record%2FWOS:000232368400084","View Full Record in Web of Science")</f>
        <v>View Full Record in Web of Science</v>
      </c>
    </row>
    <row r="351" spans="1:72" x14ac:dyDescent="0.15">
      <c r="A351" t="s">
        <v>497</v>
      </c>
      <c r="B351" t="s">
        <v>5329</v>
      </c>
      <c r="C351" t="s">
        <v>74</v>
      </c>
      <c r="D351" t="s">
        <v>4378</v>
      </c>
      <c r="E351" t="s">
        <v>74</v>
      </c>
      <c r="F351" t="s">
        <v>5329</v>
      </c>
      <c r="G351" t="s">
        <v>74</v>
      </c>
      <c r="H351" t="s">
        <v>74</v>
      </c>
      <c r="I351" t="s">
        <v>5330</v>
      </c>
      <c r="J351" t="s">
        <v>4380</v>
      </c>
      <c r="K351" t="s">
        <v>4381</v>
      </c>
      <c r="L351" t="s">
        <v>74</v>
      </c>
      <c r="M351" t="s">
        <v>77</v>
      </c>
      <c r="N351" t="s">
        <v>311</v>
      </c>
      <c r="O351" t="s">
        <v>4382</v>
      </c>
      <c r="P351" t="s">
        <v>4383</v>
      </c>
      <c r="Q351" t="s">
        <v>4384</v>
      </c>
      <c r="R351" t="s">
        <v>74</v>
      </c>
      <c r="S351" t="s">
        <v>4385</v>
      </c>
      <c r="T351" t="s">
        <v>74</v>
      </c>
      <c r="U351" t="s">
        <v>5331</v>
      </c>
      <c r="V351" t="s">
        <v>5332</v>
      </c>
      <c r="W351" t="s">
        <v>5333</v>
      </c>
      <c r="X351" t="s">
        <v>5334</v>
      </c>
      <c r="Y351" t="s">
        <v>5335</v>
      </c>
      <c r="Z351" t="s">
        <v>5336</v>
      </c>
      <c r="AA351" t="s">
        <v>5337</v>
      </c>
      <c r="AB351" t="s">
        <v>5338</v>
      </c>
      <c r="AC351" t="s">
        <v>74</v>
      </c>
      <c r="AD351" t="s">
        <v>74</v>
      </c>
      <c r="AE351" t="s">
        <v>74</v>
      </c>
      <c r="AF351" t="s">
        <v>74</v>
      </c>
      <c r="AG351">
        <v>22</v>
      </c>
      <c r="AH351">
        <v>76</v>
      </c>
      <c r="AI351">
        <v>84</v>
      </c>
      <c r="AJ351">
        <v>1</v>
      </c>
      <c r="AK351">
        <v>9</v>
      </c>
      <c r="AL351" t="s">
        <v>4393</v>
      </c>
      <c r="AM351" t="s">
        <v>824</v>
      </c>
      <c r="AN351" t="s">
        <v>4394</v>
      </c>
      <c r="AO351" t="s">
        <v>4395</v>
      </c>
      <c r="AP351" t="s">
        <v>74</v>
      </c>
      <c r="AQ351" t="s">
        <v>4396</v>
      </c>
      <c r="AR351" t="s">
        <v>4397</v>
      </c>
      <c r="AS351" t="s">
        <v>74</v>
      </c>
      <c r="AT351" t="s">
        <v>74</v>
      </c>
      <c r="AU351">
        <v>2004</v>
      </c>
      <c r="AV351">
        <v>39</v>
      </c>
      <c r="AW351" t="s">
        <v>74</v>
      </c>
      <c r="AX351" t="s">
        <v>74</v>
      </c>
      <c r="AY351" t="s">
        <v>74</v>
      </c>
      <c r="AZ351" t="s">
        <v>74</v>
      </c>
      <c r="BA351" t="s">
        <v>74</v>
      </c>
      <c r="BB351">
        <v>569</v>
      </c>
      <c r="BC351">
        <v>575</v>
      </c>
      <c r="BD351" t="s">
        <v>74</v>
      </c>
      <c r="BE351" t="s">
        <v>5339</v>
      </c>
      <c r="BF351" t="str">
        <f>HYPERLINK("http://dx.doi.org/10.3189/172756404781814348","http://dx.doi.org/10.3189/172756404781814348")</f>
        <v>http://dx.doi.org/10.3189/172756404781814348</v>
      </c>
      <c r="BG351" t="s">
        <v>74</v>
      </c>
      <c r="BH351" t="s">
        <v>74</v>
      </c>
      <c r="BI351">
        <v>7</v>
      </c>
      <c r="BJ351" t="s">
        <v>560</v>
      </c>
      <c r="BK351" t="s">
        <v>1116</v>
      </c>
      <c r="BL351" t="s">
        <v>561</v>
      </c>
      <c r="BM351" t="s">
        <v>4399</v>
      </c>
      <c r="BN351" t="s">
        <v>74</v>
      </c>
      <c r="BO351" t="s">
        <v>516</v>
      </c>
      <c r="BP351" t="s">
        <v>74</v>
      </c>
      <c r="BQ351" t="s">
        <v>74</v>
      </c>
      <c r="BR351" t="s">
        <v>99</v>
      </c>
      <c r="BS351" t="s">
        <v>5340</v>
      </c>
      <c r="BT351" t="str">
        <f>HYPERLINK("https%3A%2F%2Fwww.webofscience.com%2Fwos%2Fwoscc%2Ffull-record%2FWOS:000232368400085","View Full Record in Web of Science")</f>
        <v>View Full Record in Web of Science</v>
      </c>
    </row>
    <row r="352" spans="1:72" x14ac:dyDescent="0.15">
      <c r="A352" t="s">
        <v>497</v>
      </c>
      <c r="B352" t="s">
        <v>5341</v>
      </c>
      <c r="C352" t="s">
        <v>74</v>
      </c>
      <c r="D352" t="s">
        <v>4378</v>
      </c>
      <c r="E352" t="s">
        <v>74</v>
      </c>
      <c r="F352" t="s">
        <v>5341</v>
      </c>
      <c r="G352" t="s">
        <v>74</v>
      </c>
      <c r="H352" t="s">
        <v>74</v>
      </c>
      <c r="I352" t="s">
        <v>5342</v>
      </c>
      <c r="J352" t="s">
        <v>4380</v>
      </c>
      <c r="K352" t="s">
        <v>4381</v>
      </c>
      <c r="L352" t="s">
        <v>74</v>
      </c>
      <c r="M352" t="s">
        <v>77</v>
      </c>
      <c r="N352" t="s">
        <v>311</v>
      </c>
      <c r="O352" t="s">
        <v>4382</v>
      </c>
      <c r="P352" t="s">
        <v>4383</v>
      </c>
      <c r="Q352" t="s">
        <v>4384</v>
      </c>
      <c r="R352" t="s">
        <v>74</v>
      </c>
      <c r="S352" t="s">
        <v>4385</v>
      </c>
      <c r="T352" t="s">
        <v>74</v>
      </c>
      <c r="U352" t="s">
        <v>5343</v>
      </c>
      <c r="V352" t="s">
        <v>5344</v>
      </c>
      <c r="W352" t="s">
        <v>5345</v>
      </c>
      <c r="X352" t="s">
        <v>5346</v>
      </c>
      <c r="Y352" t="s">
        <v>5347</v>
      </c>
      <c r="Z352" t="s">
        <v>5348</v>
      </c>
      <c r="AA352" t="s">
        <v>74</v>
      </c>
      <c r="AB352" t="s">
        <v>74</v>
      </c>
      <c r="AC352" t="s">
        <v>74</v>
      </c>
      <c r="AD352" t="s">
        <v>74</v>
      </c>
      <c r="AE352" t="s">
        <v>74</v>
      </c>
      <c r="AF352" t="s">
        <v>74</v>
      </c>
      <c r="AG352">
        <v>35</v>
      </c>
      <c r="AH352">
        <v>20</v>
      </c>
      <c r="AI352">
        <v>21</v>
      </c>
      <c r="AJ352">
        <v>1</v>
      </c>
      <c r="AK352">
        <v>11</v>
      </c>
      <c r="AL352" t="s">
        <v>4393</v>
      </c>
      <c r="AM352" t="s">
        <v>824</v>
      </c>
      <c r="AN352" t="s">
        <v>4394</v>
      </c>
      <c r="AO352" t="s">
        <v>4395</v>
      </c>
      <c r="AP352" t="s">
        <v>74</v>
      </c>
      <c r="AQ352" t="s">
        <v>4396</v>
      </c>
      <c r="AR352" t="s">
        <v>4397</v>
      </c>
      <c r="AS352" t="s">
        <v>74</v>
      </c>
      <c r="AT352" t="s">
        <v>74</v>
      </c>
      <c r="AU352">
        <v>2004</v>
      </c>
      <c r="AV352">
        <v>39</v>
      </c>
      <c r="AW352" t="s">
        <v>74</v>
      </c>
      <c r="AX352" t="s">
        <v>74</v>
      </c>
      <c r="AY352" t="s">
        <v>74</v>
      </c>
      <c r="AZ352" t="s">
        <v>74</v>
      </c>
      <c r="BA352" t="s">
        <v>74</v>
      </c>
      <c r="BB352">
        <v>576</v>
      </c>
      <c r="BC352">
        <v>584</v>
      </c>
      <c r="BD352" t="s">
        <v>74</v>
      </c>
      <c r="BE352" t="s">
        <v>5349</v>
      </c>
      <c r="BF352" t="str">
        <f>HYPERLINK("http://dx.doi.org/10.3189/172756404781813934","http://dx.doi.org/10.3189/172756404781813934")</f>
        <v>http://dx.doi.org/10.3189/172756404781813934</v>
      </c>
      <c r="BG352" t="s">
        <v>74</v>
      </c>
      <c r="BH352" t="s">
        <v>74</v>
      </c>
      <c r="BI352">
        <v>9</v>
      </c>
      <c r="BJ352" t="s">
        <v>560</v>
      </c>
      <c r="BK352" t="s">
        <v>1116</v>
      </c>
      <c r="BL352" t="s">
        <v>561</v>
      </c>
      <c r="BM352" t="s">
        <v>4399</v>
      </c>
      <c r="BN352" t="s">
        <v>74</v>
      </c>
      <c r="BO352" t="s">
        <v>541</v>
      </c>
      <c r="BP352" t="s">
        <v>74</v>
      </c>
      <c r="BQ352" t="s">
        <v>74</v>
      </c>
      <c r="BR352" t="s">
        <v>99</v>
      </c>
      <c r="BS352" t="s">
        <v>5350</v>
      </c>
      <c r="BT352" t="str">
        <f>HYPERLINK("https%3A%2F%2Fwww.webofscience.com%2Fwos%2Fwoscc%2Ffull-record%2FWOS:000232368400086","View Full Record in Web of Science")</f>
        <v>View Full Record in Web of Science</v>
      </c>
    </row>
    <row r="353" spans="1:72" x14ac:dyDescent="0.15">
      <c r="A353" t="s">
        <v>497</v>
      </c>
      <c r="B353" t="s">
        <v>5351</v>
      </c>
      <c r="C353" t="s">
        <v>74</v>
      </c>
      <c r="D353" t="s">
        <v>4378</v>
      </c>
      <c r="E353" t="s">
        <v>74</v>
      </c>
      <c r="F353" t="s">
        <v>5351</v>
      </c>
      <c r="G353" t="s">
        <v>74</v>
      </c>
      <c r="H353" t="s">
        <v>74</v>
      </c>
      <c r="I353" t="s">
        <v>5352</v>
      </c>
      <c r="J353" t="s">
        <v>4380</v>
      </c>
      <c r="K353" t="s">
        <v>4381</v>
      </c>
      <c r="L353" t="s">
        <v>74</v>
      </c>
      <c r="M353" t="s">
        <v>77</v>
      </c>
      <c r="N353" t="s">
        <v>311</v>
      </c>
      <c r="O353" t="s">
        <v>4382</v>
      </c>
      <c r="P353" t="s">
        <v>4383</v>
      </c>
      <c r="Q353" t="s">
        <v>4384</v>
      </c>
      <c r="R353" t="s">
        <v>74</v>
      </c>
      <c r="S353" t="s">
        <v>4385</v>
      </c>
      <c r="T353" t="s">
        <v>74</v>
      </c>
      <c r="U353" t="s">
        <v>5353</v>
      </c>
      <c r="V353" t="s">
        <v>5354</v>
      </c>
      <c r="W353" t="s">
        <v>4745</v>
      </c>
      <c r="X353" t="s">
        <v>1181</v>
      </c>
      <c r="Y353" t="s">
        <v>5355</v>
      </c>
      <c r="Z353" t="s">
        <v>5356</v>
      </c>
      <c r="AA353" t="s">
        <v>5357</v>
      </c>
      <c r="AB353" t="s">
        <v>74</v>
      </c>
      <c r="AC353" t="s">
        <v>74</v>
      </c>
      <c r="AD353" t="s">
        <v>74</v>
      </c>
      <c r="AE353" t="s">
        <v>74</v>
      </c>
      <c r="AF353" t="s">
        <v>74</v>
      </c>
      <c r="AG353">
        <v>41</v>
      </c>
      <c r="AH353">
        <v>68</v>
      </c>
      <c r="AI353">
        <v>81</v>
      </c>
      <c r="AJ353">
        <v>0</v>
      </c>
      <c r="AK353">
        <v>13</v>
      </c>
      <c r="AL353" t="s">
        <v>4393</v>
      </c>
      <c r="AM353" t="s">
        <v>824</v>
      </c>
      <c r="AN353" t="s">
        <v>4394</v>
      </c>
      <c r="AO353" t="s">
        <v>4395</v>
      </c>
      <c r="AP353" t="s">
        <v>74</v>
      </c>
      <c r="AQ353" t="s">
        <v>4396</v>
      </c>
      <c r="AR353" t="s">
        <v>4397</v>
      </c>
      <c r="AS353" t="s">
        <v>74</v>
      </c>
      <c r="AT353" t="s">
        <v>74</v>
      </c>
      <c r="AU353">
        <v>2004</v>
      </c>
      <c r="AV353">
        <v>39</v>
      </c>
      <c r="AW353" t="s">
        <v>74</v>
      </c>
      <c r="AX353" t="s">
        <v>74</v>
      </c>
      <c r="AY353" t="s">
        <v>74</v>
      </c>
      <c r="AZ353" t="s">
        <v>74</v>
      </c>
      <c r="BA353" t="s">
        <v>74</v>
      </c>
      <c r="BB353">
        <v>585</v>
      </c>
      <c r="BC353">
        <v>594</v>
      </c>
      <c r="BD353" t="s">
        <v>74</v>
      </c>
      <c r="BE353" t="s">
        <v>5358</v>
      </c>
      <c r="BF353" t="str">
        <f>HYPERLINK("http://dx.doi.org/10.3189/172756404781814447","http://dx.doi.org/10.3189/172756404781814447")</f>
        <v>http://dx.doi.org/10.3189/172756404781814447</v>
      </c>
      <c r="BG353" t="s">
        <v>74</v>
      </c>
      <c r="BH353" t="s">
        <v>74</v>
      </c>
      <c r="BI353">
        <v>10</v>
      </c>
      <c r="BJ353" t="s">
        <v>560</v>
      </c>
      <c r="BK353" t="s">
        <v>1116</v>
      </c>
      <c r="BL353" t="s">
        <v>561</v>
      </c>
      <c r="BM353" t="s">
        <v>4399</v>
      </c>
      <c r="BN353" t="s">
        <v>74</v>
      </c>
      <c r="BO353" t="s">
        <v>286</v>
      </c>
      <c r="BP353" t="s">
        <v>74</v>
      </c>
      <c r="BQ353" t="s">
        <v>74</v>
      </c>
      <c r="BR353" t="s">
        <v>99</v>
      </c>
      <c r="BS353" t="s">
        <v>5359</v>
      </c>
      <c r="BT353" t="str">
        <f>HYPERLINK("https%3A%2F%2Fwww.webofscience.com%2Fwos%2Fwoscc%2Ffull-record%2FWOS:000232368400087","View Full Record in Web of Science")</f>
        <v>View Full Record in Web of Science</v>
      </c>
    </row>
    <row r="354" spans="1:72" x14ac:dyDescent="0.15">
      <c r="A354" t="s">
        <v>72</v>
      </c>
      <c r="B354" t="s">
        <v>5360</v>
      </c>
      <c r="C354" t="s">
        <v>74</v>
      </c>
      <c r="D354" t="s">
        <v>74</v>
      </c>
      <c r="E354" t="s">
        <v>74</v>
      </c>
      <c r="F354" t="s">
        <v>5360</v>
      </c>
      <c r="G354" t="s">
        <v>74</v>
      </c>
      <c r="H354" t="s">
        <v>74</v>
      </c>
      <c r="I354" t="s">
        <v>5361</v>
      </c>
      <c r="J354" t="s">
        <v>5362</v>
      </c>
      <c r="K354" t="s">
        <v>74</v>
      </c>
      <c r="L354" t="s">
        <v>74</v>
      </c>
      <c r="M354" t="s">
        <v>77</v>
      </c>
      <c r="N354" t="s">
        <v>78</v>
      </c>
      <c r="O354" t="s">
        <v>74</v>
      </c>
      <c r="P354" t="s">
        <v>74</v>
      </c>
      <c r="Q354" t="s">
        <v>74</v>
      </c>
      <c r="R354" t="s">
        <v>74</v>
      </c>
      <c r="S354" t="s">
        <v>74</v>
      </c>
      <c r="T354" t="s">
        <v>5363</v>
      </c>
      <c r="U354" t="s">
        <v>5364</v>
      </c>
      <c r="V354" t="s">
        <v>5365</v>
      </c>
      <c r="W354" t="s">
        <v>5366</v>
      </c>
      <c r="X354" t="s">
        <v>5367</v>
      </c>
      <c r="Y354" t="s">
        <v>5368</v>
      </c>
      <c r="Z354" t="s">
        <v>5369</v>
      </c>
      <c r="AA354" t="s">
        <v>74</v>
      </c>
      <c r="AB354" t="s">
        <v>5370</v>
      </c>
      <c r="AC354" t="s">
        <v>74</v>
      </c>
      <c r="AD354" t="s">
        <v>74</v>
      </c>
      <c r="AE354" t="s">
        <v>74</v>
      </c>
      <c r="AF354" t="s">
        <v>74</v>
      </c>
      <c r="AG354">
        <v>97</v>
      </c>
      <c r="AH354">
        <v>61</v>
      </c>
      <c r="AI354">
        <v>75</v>
      </c>
      <c r="AJ354">
        <v>1</v>
      </c>
      <c r="AK354">
        <v>24</v>
      </c>
      <c r="AL354" t="s">
        <v>5371</v>
      </c>
      <c r="AM354" t="s">
        <v>5372</v>
      </c>
      <c r="AN354" t="s">
        <v>5373</v>
      </c>
      <c r="AO354" t="s">
        <v>5374</v>
      </c>
      <c r="AP354" t="s">
        <v>5375</v>
      </c>
      <c r="AQ354" t="s">
        <v>74</v>
      </c>
      <c r="AR354" t="s">
        <v>5376</v>
      </c>
      <c r="AS354" t="s">
        <v>5377</v>
      </c>
      <c r="AT354" t="s">
        <v>74</v>
      </c>
      <c r="AU354">
        <v>2004</v>
      </c>
      <c r="AV354">
        <v>91</v>
      </c>
      <c r="AW354">
        <v>3</v>
      </c>
      <c r="AX354" t="s">
        <v>74</v>
      </c>
      <c r="AY354" t="s">
        <v>74</v>
      </c>
      <c r="AZ354" t="s">
        <v>74</v>
      </c>
      <c r="BA354" t="s">
        <v>74</v>
      </c>
      <c r="BB354">
        <v>505</v>
      </c>
      <c r="BC354">
        <v>522</v>
      </c>
      <c r="BD354" t="s">
        <v>74</v>
      </c>
      <c r="BE354" t="s">
        <v>74</v>
      </c>
      <c r="BF354" t="s">
        <v>74</v>
      </c>
      <c r="BG354" t="s">
        <v>74</v>
      </c>
      <c r="BH354" t="s">
        <v>74</v>
      </c>
      <c r="BI354">
        <v>18</v>
      </c>
      <c r="BJ354" t="s">
        <v>1903</v>
      </c>
      <c r="BK354" t="s">
        <v>96</v>
      </c>
      <c r="BL354" t="s">
        <v>1903</v>
      </c>
      <c r="BM354" t="s">
        <v>5378</v>
      </c>
      <c r="BN354" t="s">
        <v>74</v>
      </c>
      <c r="BO354" t="s">
        <v>74</v>
      </c>
      <c r="BP354" t="s">
        <v>74</v>
      </c>
      <c r="BQ354" t="s">
        <v>74</v>
      </c>
      <c r="BR354" t="s">
        <v>99</v>
      </c>
      <c r="BS354" t="s">
        <v>5379</v>
      </c>
      <c r="BT354" t="str">
        <f>HYPERLINK("https%3A%2F%2Fwww.webofscience.com%2Fwos%2Fwoscc%2Ffull-record%2FWOS:000224658300012","View Full Record in Web of Science")</f>
        <v>View Full Record in Web of Science</v>
      </c>
    </row>
    <row r="355" spans="1:72" x14ac:dyDescent="0.15">
      <c r="A355" t="s">
        <v>72</v>
      </c>
      <c r="B355" t="s">
        <v>5380</v>
      </c>
      <c r="C355" t="s">
        <v>74</v>
      </c>
      <c r="D355" t="s">
        <v>74</v>
      </c>
      <c r="E355" t="s">
        <v>74</v>
      </c>
      <c r="F355" t="s">
        <v>5380</v>
      </c>
      <c r="G355" t="s">
        <v>74</v>
      </c>
      <c r="H355" t="s">
        <v>74</v>
      </c>
      <c r="I355" t="s">
        <v>5381</v>
      </c>
      <c r="J355" t="s">
        <v>5382</v>
      </c>
      <c r="K355" t="s">
        <v>74</v>
      </c>
      <c r="L355" t="s">
        <v>74</v>
      </c>
      <c r="M355" t="s">
        <v>77</v>
      </c>
      <c r="N355" t="s">
        <v>268</v>
      </c>
      <c r="O355" t="s">
        <v>74</v>
      </c>
      <c r="P355" t="s">
        <v>74</v>
      </c>
      <c r="Q355" t="s">
        <v>74</v>
      </c>
      <c r="R355" t="s">
        <v>74</v>
      </c>
      <c r="S355" t="s">
        <v>74</v>
      </c>
      <c r="T355" t="s">
        <v>5383</v>
      </c>
      <c r="U355" t="s">
        <v>5384</v>
      </c>
      <c r="V355" t="s">
        <v>5385</v>
      </c>
      <c r="W355" t="s">
        <v>5386</v>
      </c>
      <c r="X355" t="s">
        <v>5387</v>
      </c>
      <c r="Y355" t="s">
        <v>5388</v>
      </c>
      <c r="Z355" t="s">
        <v>5389</v>
      </c>
      <c r="AA355" t="s">
        <v>5390</v>
      </c>
      <c r="AB355" t="s">
        <v>5391</v>
      </c>
      <c r="AC355" t="s">
        <v>74</v>
      </c>
      <c r="AD355" t="s">
        <v>74</v>
      </c>
      <c r="AE355" t="s">
        <v>74</v>
      </c>
      <c r="AF355" t="s">
        <v>74</v>
      </c>
      <c r="AG355">
        <v>167</v>
      </c>
      <c r="AH355">
        <v>126</v>
      </c>
      <c r="AI355">
        <v>150</v>
      </c>
      <c r="AJ355">
        <v>1</v>
      </c>
      <c r="AK355">
        <v>33</v>
      </c>
      <c r="AL355" t="s">
        <v>5392</v>
      </c>
      <c r="AM355" t="s">
        <v>5393</v>
      </c>
      <c r="AN355" t="s">
        <v>5394</v>
      </c>
      <c r="AO355" t="s">
        <v>5395</v>
      </c>
      <c r="AP355" t="s">
        <v>5396</v>
      </c>
      <c r="AQ355" t="s">
        <v>74</v>
      </c>
      <c r="AR355" t="s">
        <v>5397</v>
      </c>
      <c r="AS355" t="s">
        <v>5398</v>
      </c>
      <c r="AT355" t="s">
        <v>74</v>
      </c>
      <c r="AU355">
        <v>2004</v>
      </c>
      <c r="AV355">
        <v>58</v>
      </c>
      <c r="AW355" t="s">
        <v>74</v>
      </c>
      <c r="AX355" t="s">
        <v>74</v>
      </c>
      <c r="AY355" t="s">
        <v>74</v>
      </c>
      <c r="AZ355" t="s">
        <v>74</v>
      </c>
      <c r="BA355" t="s">
        <v>74</v>
      </c>
      <c r="BB355">
        <v>649</v>
      </c>
      <c r="BC355">
        <v>690</v>
      </c>
      <c r="BD355" t="s">
        <v>74</v>
      </c>
      <c r="BE355" t="s">
        <v>5399</v>
      </c>
      <c r="BF355" t="str">
        <f>HYPERLINK("http://dx.doi.org/10.1146/annurev.micro.57.030502.090811","http://dx.doi.org/10.1146/annurev.micro.57.030502.090811")</f>
        <v>http://dx.doi.org/10.1146/annurev.micro.57.030502.090811</v>
      </c>
      <c r="BG355" t="s">
        <v>74</v>
      </c>
      <c r="BH355" t="s">
        <v>74</v>
      </c>
      <c r="BI355">
        <v>48</v>
      </c>
      <c r="BJ355" t="s">
        <v>743</v>
      </c>
      <c r="BK355" t="s">
        <v>96</v>
      </c>
      <c r="BL355" t="s">
        <v>743</v>
      </c>
      <c r="BM355" t="s">
        <v>5400</v>
      </c>
      <c r="BN355">
        <v>15487951</v>
      </c>
      <c r="BO355" t="s">
        <v>74</v>
      </c>
      <c r="BP355" t="s">
        <v>74</v>
      </c>
      <c r="BQ355" t="s">
        <v>74</v>
      </c>
      <c r="BR355" t="s">
        <v>99</v>
      </c>
      <c r="BS355" t="s">
        <v>5401</v>
      </c>
      <c r="BT355" t="str">
        <f>HYPERLINK("https%3A%2F%2Fwww.webofscience.com%2Fwos%2Fwoscc%2Ffull-record%2FWOS:000225318500025","View Full Record in Web of Science")</f>
        <v>View Full Record in Web of Science</v>
      </c>
    </row>
    <row r="356" spans="1:72" x14ac:dyDescent="0.15">
      <c r="A356" t="s">
        <v>72</v>
      </c>
      <c r="B356" t="s">
        <v>5402</v>
      </c>
      <c r="C356" t="s">
        <v>74</v>
      </c>
      <c r="D356" t="s">
        <v>74</v>
      </c>
      <c r="E356" t="s">
        <v>74</v>
      </c>
      <c r="F356" t="s">
        <v>5402</v>
      </c>
      <c r="G356" t="s">
        <v>74</v>
      </c>
      <c r="H356" t="s">
        <v>74</v>
      </c>
      <c r="I356" t="s">
        <v>5403</v>
      </c>
      <c r="J356" t="s">
        <v>5404</v>
      </c>
      <c r="K356" t="s">
        <v>74</v>
      </c>
      <c r="L356" t="s">
        <v>74</v>
      </c>
      <c r="M356" t="s">
        <v>77</v>
      </c>
      <c r="N356" t="s">
        <v>268</v>
      </c>
      <c r="O356" t="s">
        <v>74</v>
      </c>
      <c r="P356" t="s">
        <v>74</v>
      </c>
      <c r="Q356" t="s">
        <v>74</v>
      </c>
      <c r="R356" t="s">
        <v>74</v>
      </c>
      <c r="S356" t="s">
        <v>74</v>
      </c>
      <c r="T356" t="s">
        <v>5405</v>
      </c>
      <c r="U356" t="s">
        <v>5406</v>
      </c>
      <c r="V356" t="s">
        <v>5407</v>
      </c>
      <c r="W356" t="s">
        <v>5408</v>
      </c>
      <c r="X356" t="s">
        <v>5409</v>
      </c>
      <c r="Y356" t="s">
        <v>5410</v>
      </c>
      <c r="Z356" t="s">
        <v>5411</v>
      </c>
      <c r="AA356" t="s">
        <v>5412</v>
      </c>
      <c r="AB356" t="s">
        <v>5413</v>
      </c>
      <c r="AC356" t="s">
        <v>74</v>
      </c>
      <c r="AD356" t="s">
        <v>74</v>
      </c>
      <c r="AE356" t="s">
        <v>74</v>
      </c>
      <c r="AF356" t="s">
        <v>74</v>
      </c>
      <c r="AG356">
        <v>162</v>
      </c>
      <c r="AH356">
        <v>237</v>
      </c>
      <c r="AI356">
        <v>275</v>
      </c>
      <c r="AJ356">
        <v>6</v>
      </c>
      <c r="AK356">
        <v>141</v>
      </c>
      <c r="AL356" t="s">
        <v>5392</v>
      </c>
      <c r="AM356" t="s">
        <v>5393</v>
      </c>
      <c r="AN356" t="s">
        <v>5394</v>
      </c>
      <c r="AO356" t="s">
        <v>5414</v>
      </c>
      <c r="AP356" t="s">
        <v>5415</v>
      </c>
      <c r="AQ356" t="s">
        <v>74</v>
      </c>
      <c r="AR356" t="s">
        <v>5416</v>
      </c>
      <c r="AS356" t="s">
        <v>5417</v>
      </c>
      <c r="AT356" t="s">
        <v>74</v>
      </c>
      <c r="AU356">
        <v>2004</v>
      </c>
      <c r="AV356">
        <v>66</v>
      </c>
      <c r="AW356" t="s">
        <v>74</v>
      </c>
      <c r="AX356" t="s">
        <v>74</v>
      </c>
      <c r="AY356" t="s">
        <v>74</v>
      </c>
      <c r="AZ356" t="s">
        <v>74</v>
      </c>
      <c r="BA356" t="s">
        <v>74</v>
      </c>
      <c r="BB356">
        <v>183</v>
      </c>
      <c r="BC356">
        <v>207</v>
      </c>
      <c r="BD356" t="s">
        <v>74</v>
      </c>
      <c r="BE356" t="s">
        <v>5418</v>
      </c>
      <c r="BF356" t="str">
        <f>HYPERLINK("http://dx.doi.org/10.1146/annurev.physiol.66.032102.114509","http://dx.doi.org/10.1146/annurev.physiol.66.032102.114509")</f>
        <v>http://dx.doi.org/10.1146/annurev.physiol.66.032102.114509</v>
      </c>
      <c r="BG356" t="s">
        <v>74</v>
      </c>
      <c r="BH356" t="s">
        <v>74</v>
      </c>
      <c r="BI356">
        <v>27</v>
      </c>
      <c r="BJ356" t="s">
        <v>5419</v>
      </c>
      <c r="BK356" t="s">
        <v>96</v>
      </c>
      <c r="BL356" t="s">
        <v>5419</v>
      </c>
      <c r="BM356" t="s">
        <v>5420</v>
      </c>
      <c r="BN356">
        <v>14977401</v>
      </c>
      <c r="BO356" t="s">
        <v>74</v>
      </c>
      <c r="BP356" t="s">
        <v>74</v>
      </c>
      <c r="BQ356" t="s">
        <v>74</v>
      </c>
      <c r="BR356" t="s">
        <v>99</v>
      </c>
      <c r="BS356" t="s">
        <v>5421</v>
      </c>
      <c r="BT356" t="str">
        <f>HYPERLINK("https%3A%2F%2Fwww.webofscience.com%2Fwos%2Fwoscc%2Ffull-record%2FWOS:000220827800009","View Full Record in Web of Science")</f>
        <v>View Full Record in Web of Science</v>
      </c>
    </row>
    <row r="357" spans="1:72" x14ac:dyDescent="0.15">
      <c r="A357" t="s">
        <v>72</v>
      </c>
      <c r="B357" t="s">
        <v>5422</v>
      </c>
      <c r="C357" t="s">
        <v>74</v>
      </c>
      <c r="D357" t="s">
        <v>74</v>
      </c>
      <c r="E357" t="s">
        <v>74</v>
      </c>
      <c r="F357" t="s">
        <v>5422</v>
      </c>
      <c r="G357" t="s">
        <v>74</v>
      </c>
      <c r="H357" t="s">
        <v>74</v>
      </c>
      <c r="I357" t="s">
        <v>5423</v>
      </c>
      <c r="J357" t="s">
        <v>2576</v>
      </c>
      <c r="K357" t="s">
        <v>74</v>
      </c>
      <c r="L357" t="s">
        <v>74</v>
      </c>
      <c r="M357" t="s">
        <v>77</v>
      </c>
      <c r="N357" t="s">
        <v>78</v>
      </c>
      <c r="O357" t="s">
        <v>74</v>
      </c>
      <c r="P357" t="s">
        <v>74</v>
      </c>
      <c r="Q357" t="s">
        <v>74</v>
      </c>
      <c r="R357" t="s">
        <v>74</v>
      </c>
      <c r="S357" t="s">
        <v>74</v>
      </c>
      <c r="T357" t="s">
        <v>74</v>
      </c>
      <c r="U357" t="s">
        <v>5424</v>
      </c>
      <c r="V357" t="s">
        <v>5425</v>
      </c>
      <c r="W357" t="s">
        <v>5426</v>
      </c>
      <c r="X357" t="s">
        <v>5427</v>
      </c>
      <c r="Y357" t="s">
        <v>5428</v>
      </c>
      <c r="Z357" t="s">
        <v>5429</v>
      </c>
      <c r="AA357" t="s">
        <v>5430</v>
      </c>
      <c r="AB357" t="s">
        <v>74</v>
      </c>
      <c r="AC357" t="s">
        <v>74</v>
      </c>
      <c r="AD357" t="s">
        <v>74</v>
      </c>
      <c r="AE357" t="s">
        <v>74</v>
      </c>
      <c r="AF357" t="s">
        <v>74</v>
      </c>
      <c r="AG357">
        <v>48</v>
      </c>
      <c r="AH357">
        <v>222</v>
      </c>
      <c r="AI357">
        <v>285</v>
      </c>
      <c r="AJ357">
        <v>1</v>
      </c>
      <c r="AK357">
        <v>51</v>
      </c>
      <c r="AL357" t="s">
        <v>2583</v>
      </c>
      <c r="AM357" t="s">
        <v>364</v>
      </c>
      <c r="AN357" t="s">
        <v>2584</v>
      </c>
      <c r="AO357" t="s">
        <v>2585</v>
      </c>
      <c r="AP357" t="s">
        <v>2586</v>
      </c>
      <c r="AQ357" t="s">
        <v>74</v>
      </c>
      <c r="AR357" t="s">
        <v>2587</v>
      </c>
      <c r="AS357" t="s">
        <v>2588</v>
      </c>
      <c r="AT357" t="s">
        <v>4117</v>
      </c>
      <c r="AU357">
        <v>2004</v>
      </c>
      <c r="AV357">
        <v>70</v>
      </c>
      <c r="AW357">
        <v>1</v>
      </c>
      <c r="AX357" t="s">
        <v>74</v>
      </c>
      <c r="AY357" t="s">
        <v>74</v>
      </c>
      <c r="AZ357" t="s">
        <v>74</v>
      </c>
      <c r="BA357" t="s">
        <v>74</v>
      </c>
      <c r="BB357">
        <v>202</v>
      </c>
      <c r="BC357">
        <v>213</v>
      </c>
      <c r="BD357" t="s">
        <v>74</v>
      </c>
      <c r="BE357" t="s">
        <v>5431</v>
      </c>
      <c r="BF357" t="str">
        <f>HYPERLINK("http://dx.doi.org/10.1128/AEM.70.1.202-213.2004","http://dx.doi.org/10.1128/AEM.70.1.202-213.2004")</f>
        <v>http://dx.doi.org/10.1128/AEM.70.1.202-213.2004</v>
      </c>
      <c r="BG357" t="s">
        <v>74</v>
      </c>
      <c r="BH357" t="s">
        <v>74</v>
      </c>
      <c r="BI357">
        <v>12</v>
      </c>
      <c r="BJ357" t="s">
        <v>2092</v>
      </c>
      <c r="BK357" t="s">
        <v>96</v>
      </c>
      <c r="BL357" t="s">
        <v>2092</v>
      </c>
      <c r="BM357" t="s">
        <v>5432</v>
      </c>
      <c r="BN357">
        <v>14711643</v>
      </c>
      <c r="BO357" t="s">
        <v>479</v>
      </c>
      <c r="BP357" t="s">
        <v>74</v>
      </c>
      <c r="BQ357" t="s">
        <v>74</v>
      </c>
      <c r="BR357" t="s">
        <v>99</v>
      </c>
      <c r="BS357" t="s">
        <v>5433</v>
      </c>
      <c r="BT357" t="str">
        <f>HYPERLINK("https%3A%2F%2Fwww.webofscience.com%2Fwos%2Fwoscc%2Ffull-record%2FWOS:000188115300025","View Full Record in Web of Science")</f>
        <v>View Full Record in Web of Science</v>
      </c>
    </row>
    <row r="358" spans="1:72" x14ac:dyDescent="0.15">
      <c r="A358" t="s">
        <v>72</v>
      </c>
      <c r="B358" t="s">
        <v>5434</v>
      </c>
      <c r="C358" t="s">
        <v>74</v>
      </c>
      <c r="D358" t="s">
        <v>74</v>
      </c>
      <c r="E358" t="s">
        <v>74</v>
      </c>
      <c r="F358" t="s">
        <v>5434</v>
      </c>
      <c r="G358" t="s">
        <v>74</v>
      </c>
      <c r="H358" t="s">
        <v>74</v>
      </c>
      <c r="I358" t="s">
        <v>5435</v>
      </c>
      <c r="J358" t="s">
        <v>2576</v>
      </c>
      <c r="K358" t="s">
        <v>74</v>
      </c>
      <c r="L358" t="s">
        <v>74</v>
      </c>
      <c r="M358" t="s">
        <v>77</v>
      </c>
      <c r="N358" t="s">
        <v>78</v>
      </c>
      <c r="O358" t="s">
        <v>74</v>
      </c>
      <c r="P358" t="s">
        <v>74</v>
      </c>
      <c r="Q358" t="s">
        <v>74</v>
      </c>
      <c r="R358" t="s">
        <v>74</v>
      </c>
      <c r="S358" t="s">
        <v>74</v>
      </c>
      <c r="T358" t="s">
        <v>74</v>
      </c>
      <c r="U358" t="s">
        <v>5436</v>
      </c>
      <c r="V358" t="s">
        <v>5437</v>
      </c>
      <c r="W358" t="s">
        <v>5438</v>
      </c>
      <c r="X358" t="s">
        <v>5439</v>
      </c>
      <c r="Y358" t="s">
        <v>5440</v>
      </c>
      <c r="Z358" t="s">
        <v>5441</v>
      </c>
      <c r="AA358" t="s">
        <v>5442</v>
      </c>
      <c r="AB358" t="s">
        <v>5443</v>
      </c>
      <c r="AC358" t="s">
        <v>74</v>
      </c>
      <c r="AD358" t="s">
        <v>74</v>
      </c>
      <c r="AE358" t="s">
        <v>74</v>
      </c>
      <c r="AF358" t="s">
        <v>74</v>
      </c>
      <c r="AG358">
        <v>43</v>
      </c>
      <c r="AH358">
        <v>91</v>
      </c>
      <c r="AI358">
        <v>102</v>
      </c>
      <c r="AJ358">
        <v>0</v>
      </c>
      <c r="AK358">
        <v>25</v>
      </c>
      <c r="AL358" t="s">
        <v>2583</v>
      </c>
      <c r="AM358" t="s">
        <v>364</v>
      </c>
      <c r="AN358" t="s">
        <v>2584</v>
      </c>
      <c r="AO358" t="s">
        <v>2585</v>
      </c>
      <c r="AP358" t="s">
        <v>2586</v>
      </c>
      <c r="AQ358" t="s">
        <v>74</v>
      </c>
      <c r="AR358" t="s">
        <v>2587</v>
      </c>
      <c r="AS358" t="s">
        <v>2588</v>
      </c>
      <c r="AT358" t="s">
        <v>4117</v>
      </c>
      <c r="AU358">
        <v>2004</v>
      </c>
      <c r="AV358">
        <v>70</v>
      </c>
      <c r="AW358">
        <v>1</v>
      </c>
      <c r="AX358" t="s">
        <v>74</v>
      </c>
      <c r="AY358" t="s">
        <v>74</v>
      </c>
      <c r="AZ358" t="s">
        <v>74</v>
      </c>
      <c r="BA358" t="s">
        <v>74</v>
      </c>
      <c r="BB358">
        <v>569</v>
      </c>
      <c r="BC358">
        <v>580</v>
      </c>
      <c r="BD358" t="s">
        <v>74</v>
      </c>
      <c r="BE358" t="s">
        <v>5444</v>
      </c>
      <c r="BF358" t="str">
        <f>HYPERLINK("http://dx.doi.org/10.1128/AEM.70.1.569-580.2004","http://dx.doi.org/10.1128/AEM.70.1.569-580.2004")</f>
        <v>http://dx.doi.org/10.1128/AEM.70.1.569-580.2004</v>
      </c>
      <c r="BG358" t="s">
        <v>74</v>
      </c>
      <c r="BH358" t="s">
        <v>74</v>
      </c>
      <c r="BI358">
        <v>12</v>
      </c>
      <c r="BJ358" t="s">
        <v>2092</v>
      </c>
      <c r="BK358" t="s">
        <v>96</v>
      </c>
      <c r="BL358" t="s">
        <v>2092</v>
      </c>
      <c r="BM358" t="s">
        <v>5432</v>
      </c>
      <c r="BN358">
        <v>14711689</v>
      </c>
      <c r="BO358" t="s">
        <v>479</v>
      </c>
      <c r="BP358" t="s">
        <v>74</v>
      </c>
      <c r="BQ358" t="s">
        <v>74</v>
      </c>
      <c r="BR358" t="s">
        <v>99</v>
      </c>
      <c r="BS358" t="s">
        <v>5445</v>
      </c>
      <c r="BT358" t="str">
        <f>HYPERLINK("https%3A%2F%2Fwww.webofscience.com%2Fwos%2Fwoscc%2Ffull-record%2FWOS:000188115300071","View Full Record in Web of Science")</f>
        <v>View Full Record in Web of Science</v>
      </c>
    </row>
    <row r="359" spans="1:72" x14ac:dyDescent="0.15">
      <c r="A359" t="s">
        <v>72</v>
      </c>
      <c r="B359" t="s">
        <v>5446</v>
      </c>
      <c r="C359" t="s">
        <v>74</v>
      </c>
      <c r="D359" t="s">
        <v>74</v>
      </c>
      <c r="E359" t="s">
        <v>74</v>
      </c>
      <c r="F359" t="s">
        <v>5446</v>
      </c>
      <c r="G359" t="s">
        <v>74</v>
      </c>
      <c r="H359" t="s">
        <v>74</v>
      </c>
      <c r="I359" t="s">
        <v>5447</v>
      </c>
      <c r="J359" t="s">
        <v>5448</v>
      </c>
      <c r="K359" t="s">
        <v>74</v>
      </c>
      <c r="L359" t="s">
        <v>74</v>
      </c>
      <c r="M359" t="s">
        <v>77</v>
      </c>
      <c r="N359" t="s">
        <v>78</v>
      </c>
      <c r="O359" t="s">
        <v>74</v>
      </c>
      <c r="P359" t="s">
        <v>74</v>
      </c>
      <c r="Q359" t="s">
        <v>74</v>
      </c>
      <c r="R359" t="s">
        <v>74</v>
      </c>
      <c r="S359" t="s">
        <v>74</v>
      </c>
      <c r="T359" t="s">
        <v>74</v>
      </c>
      <c r="U359" t="s">
        <v>5449</v>
      </c>
      <c r="V359" t="s">
        <v>5450</v>
      </c>
      <c r="W359" t="s">
        <v>5451</v>
      </c>
      <c r="X359" t="s">
        <v>5452</v>
      </c>
      <c r="Y359" t="s">
        <v>5453</v>
      </c>
      <c r="Z359" t="s">
        <v>74</v>
      </c>
      <c r="AA359" t="s">
        <v>5454</v>
      </c>
      <c r="AB359" t="s">
        <v>5455</v>
      </c>
      <c r="AC359" t="s">
        <v>74</v>
      </c>
      <c r="AD359" t="s">
        <v>74</v>
      </c>
      <c r="AE359" t="s">
        <v>74</v>
      </c>
      <c r="AF359" t="s">
        <v>74</v>
      </c>
      <c r="AG359">
        <v>20</v>
      </c>
      <c r="AH359">
        <v>4</v>
      </c>
      <c r="AI359">
        <v>4</v>
      </c>
      <c r="AJ359">
        <v>0</v>
      </c>
      <c r="AK359">
        <v>4</v>
      </c>
      <c r="AL359" t="s">
        <v>5456</v>
      </c>
      <c r="AM359" t="s">
        <v>5457</v>
      </c>
      <c r="AN359" t="s">
        <v>5458</v>
      </c>
      <c r="AO359" t="s">
        <v>5459</v>
      </c>
      <c r="AP359" t="s">
        <v>5460</v>
      </c>
      <c r="AQ359" t="s">
        <v>74</v>
      </c>
      <c r="AR359" t="s">
        <v>5461</v>
      </c>
      <c r="AS359" t="s">
        <v>5462</v>
      </c>
      <c r="AT359" t="s">
        <v>74</v>
      </c>
      <c r="AU359">
        <v>2004</v>
      </c>
      <c r="AV359">
        <v>26</v>
      </c>
      <c r="AW359">
        <v>4</v>
      </c>
      <c r="AX359" t="s">
        <v>74</v>
      </c>
      <c r="AY359" t="s">
        <v>74</v>
      </c>
      <c r="AZ359" t="s">
        <v>74</v>
      </c>
      <c r="BA359" t="s">
        <v>74</v>
      </c>
      <c r="BB359">
        <v>601</v>
      </c>
      <c r="BC359">
        <v>616</v>
      </c>
      <c r="BD359" t="s">
        <v>74</v>
      </c>
      <c r="BE359" t="s">
        <v>5463</v>
      </c>
      <c r="BF359" t="str">
        <f>HYPERLINK("http://dx.doi.org/10.1007/BF03166586","http://dx.doi.org/10.1007/BF03166586")</f>
        <v>http://dx.doi.org/10.1007/BF03166586</v>
      </c>
      <c r="BG359" t="s">
        <v>74</v>
      </c>
      <c r="BH359" t="s">
        <v>74</v>
      </c>
      <c r="BI359">
        <v>16</v>
      </c>
      <c r="BJ359" t="s">
        <v>5464</v>
      </c>
      <c r="BK359" t="s">
        <v>96</v>
      </c>
      <c r="BL359" t="s">
        <v>5465</v>
      </c>
      <c r="BM359" t="s">
        <v>5466</v>
      </c>
      <c r="BN359" t="s">
        <v>74</v>
      </c>
      <c r="BO359" t="s">
        <v>74</v>
      </c>
      <c r="BP359" t="s">
        <v>74</v>
      </c>
      <c r="BQ359" t="s">
        <v>74</v>
      </c>
      <c r="BR359" t="s">
        <v>99</v>
      </c>
      <c r="BS359" t="s">
        <v>5467</v>
      </c>
      <c r="BT359" t="str">
        <f>HYPERLINK("https%3A%2F%2Fwww.webofscience.com%2Fwos%2Fwoscc%2Ffull-record%2FWOS:000224404200010","View Full Record in Web of Science")</f>
        <v>View Full Record in Web of Science</v>
      </c>
    </row>
    <row r="360" spans="1:72" x14ac:dyDescent="0.15">
      <c r="A360" t="s">
        <v>72</v>
      </c>
      <c r="B360" t="s">
        <v>5468</v>
      </c>
      <c r="C360" t="s">
        <v>74</v>
      </c>
      <c r="D360" t="s">
        <v>74</v>
      </c>
      <c r="E360" t="s">
        <v>74</v>
      </c>
      <c r="F360" t="s">
        <v>5468</v>
      </c>
      <c r="G360" t="s">
        <v>74</v>
      </c>
      <c r="H360" t="s">
        <v>74</v>
      </c>
      <c r="I360" t="s">
        <v>5469</v>
      </c>
      <c r="J360" t="s">
        <v>5470</v>
      </c>
      <c r="K360" t="s">
        <v>74</v>
      </c>
      <c r="L360" t="s">
        <v>74</v>
      </c>
      <c r="M360" t="s">
        <v>77</v>
      </c>
      <c r="N360" t="s">
        <v>311</v>
      </c>
      <c r="O360" t="s">
        <v>5471</v>
      </c>
      <c r="P360" t="s">
        <v>5472</v>
      </c>
      <c r="Q360" t="s">
        <v>5473</v>
      </c>
      <c r="R360" t="s">
        <v>74</v>
      </c>
      <c r="S360" t="s">
        <v>74</v>
      </c>
      <c r="T360" t="s">
        <v>5474</v>
      </c>
      <c r="U360" t="s">
        <v>5475</v>
      </c>
      <c r="V360" t="s">
        <v>5476</v>
      </c>
      <c r="W360" t="s">
        <v>2238</v>
      </c>
      <c r="X360" t="s">
        <v>1562</v>
      </c>
      <c r="Y360" t="s">
        <v>5477</v>
      </c>
      <c r="Z360" t="s">
        <v>5478</v>
      </c>
      <c r="AA360" t="s">
        <v>74</v>
      </c>
      <c r="AB360" t="s">
        <v>5479</v>
      </c>
      <c r="AC360" t="s">
        <v>74</v>
      </c>
      <c r="AD360" t="s">
        <v>74</v>
      </c>
      <c r="AE360" t="s">
        <v>74</v>
      </c>
      <c r="AF360" t="s">
        <v>74</v>
      </c>
      <c r="AG360">
        <v>33</v>
      </c>
      <c r="AH360">
        <v>23</v>
      </c>
      <c r="AI360">
        <v>24</v>
      </c>
      <c r="AJ360">
        <v>0</v>
      </c>
      <c r="AK360">
        <v>2</v>
      </c>
      <c r="AL360" t="s">
        <v>850</v>
      </c>
      <c r="AM360" t="s">
        <v>851</v>
      </c>
      <c r="AN360" t="s">
        <v>852</v>
      </c>
      <c r="AO360" t="s">
        <v>5480</v>
      </c>
      <c r="AP360" t="s">
        <v>5481</v>
      </c>
      <c r="AQ360" t="s">
        <v>74</v>
      </c>
      <c r="AR360" t="s">
        <v>5482</v>
      </c>
      <c r="AS360" t="s">
        <v>5483</v>
      </c>
      <c r="AT360" t="s">
        <v>74</v>
      </c>
      <c r="AU360">
        <v>2004</v>
      </c>
      <c r="AV360">
        <v>325</v>
      </c>
      <c r="AW360" t="s">
        <v>5484</v>
      </c>
      <c r="AX360" t="s">
        <v>74</v>
      </c>
      <c r="AY360" t="s">
        <v>74</v>
      </c>
      <c r="AZ360" t="s">
        <v>74</v>
      </c>
      <c r="BA360" t="s">
        <v>74</v>
      </c>
      <c r="BB360">
        <v>619</v>
      </c>
      <c r="BC360">
        <v>625</v>
      </c>
      <c r="BD360" t="s">
        <v>74</v>
      </c>
      <c r="BE360" t="s">
        <v>5485</v>
      </c>
      <c r="BF360" t="str">
        <f>HYPERLINK("http://dx.doi.org/10.1002/asna.200410296","http://dx.doi.org/10.1002/asna.200410296")</f>
        <v>http://dx.doi.org/10.1002/asna.200410296</v>
      </c>
      <c r="BG360" t="s">
        <v>74</v>
      </c>
      <c r="BH360" t="s">
        <v>74</v>
      </c>
      <c r="BI360">
        <v>7</v>
      </c>
      <c r="BJ360" t="s">
        <v>395</v>
      </c>
      <c r="BK360" t="s">
        <v>332</v>
      </c>
      <c r="BL360" t="s">
        <v>395</v>
      </c>
      <c r="BM360" t="s">
        <v>5486</v>
      </c>
      <c r="BN360" t="s">
        <v>74</v>
      </c>
      <c r="BO360" t="s">
        <v>74</v>
      </c>
      <c r="BP360" t="s">
        <v>74</v>
      </c>
      <c r="BQ360" t="s">
        <v>74</v>
      </c>
      <c r="BR360" t="s">
        <v>99</v>
      </c>
      <c r="BS360" t="s">
        <v>5487</v>
      </c>
      <c r="BT360" t="str">
        <f>HYPERLINK("https%3A%2F%2Fwww.webofscience.com%2Fwos%2Fwoscc%2Ffull-record%2FWOS:000225072700036","View Full Record in Web of Science")</f>
        <v>View Full Record in Web of Science</v>
      </c>
    </row>
    <row r="361" spans="1:72" x14ac:dyDescent="0.15">
      <c r="A361" t="s">
        <v>72</v>
      </c>
      <c r="B361" t="s">
        <v>5488</v>
      </c>
      <c r="C361" t="s">
        <v>74</v>
      </c>
      <c r="D361" t="s">
        <v>74</v>
      </c>
      <c r="E361" t="s">
        <v>74</v>
      </c>
      <c r="F361" t="s">
        <v>5488</v>
      </c>
      <c r="G361" t="s">
        <v>74</v>
      </c>
      <c r="H361" t="s">
        <v>74</v>
      </c>
      <c r="I361" t="s">
        <v>5489</v>
      </c>
      <c r="J361" t="s">
        <v>5470</v>
      </c>
      <c r="K361" t="s">
        <v>74</v>
      </c>
      <c r="L361" t="s">
        <v>74</v>
      </c>
      <c r="M361" t="s">
        <v>77</v>
      </c>
      <c r="N361" t="s">
        <v>311</v>
      </c>
      <c r="O361" t="s">
        <v>5471</v>
      </c>
      <c r="P361" t="s">
        <v>5472</v>
      </c>
      <c r="Q361" t="s">
        <v>5473</v>
      </c>
      <c r="R361" t="s">
        <v>74</v>
      </c>
      <c r="S361" t="s">
        <v>74</v>
      </c>
      <c r="T361" t="s">
        <v>5490</v>
      </c>
      <c r="U361" t="s">
        <v>74</v>
      </c>
      <c r="V361" t="s">
        <v>5491</v>
      </c>
      <c r="W361" t="s">
        <v>5492</v>
      </c>
      <c r="X361" t="s">
        <v>5493</v>
      </c>
      <c r="Y361" t="s">
        <v>5494</v>
      </c>
      <c r="Z361" t="s">
        <v>5495</v>
      </c>
      <c r="AA361" t="s">
        <v>5496</v>
      </c>
      <c r="AB361" t="s">
        <v>74</v>
      </c>
      <c r="AC361" t="s">
        <v>74</v>
      </c>
      <c r="AD361" t="s">
        <v>74</v>
      </c>
      <c r="AE361" t="s">
        <v>74</v>
      </c>
      <c r="AF361" t="s">
        <v>74</v>
      </c>
      <c r="AG361">
        <v>15</v>
      </c>
      <c r="AH361">
        <v>1</v>
      </c>
      <c r="AI361">
        <v>1</v>
      </c>
      <c r="AJ361">
        <v>0</v>
      </c>
      <c r="AK361">
        <v>3</v>
      </c>
      <c r="AL361" t="s">
        <v>850</v>
      </c>
      <c r="AM361" t="s">
        <v>851</v>
      </c>
      <c r="AN361" t="s">
        <v>5497</v>
      </c>
      <c r="AO361" t="s">
        <v>5480</v>
      </c>
      <c r="AP361" t="s">
        <v>74</v>
      </c>
      <c r="AQ361" t="s">
        <v>74</v>
      </c>
      <c r="AR361" t="s">
        <v>5482</v>
      </c>
      <c r="AS361" t="s">
        <v>5483</v>
      </c>
      <c r="AT361" t="s">
        <v>74</v>
      </c>
      <c r="AU361">
        <v>2004</v>
      </c>
      <c r="AV361">
        <v>325</v>
      </c>
      <c r="AW361" t="s">
        <v>5484</v>
      </c>
      <c r="AX361" t="s">
        <v>74</v>
      </c>
      <c r="AY361" t="s">
        <v>74</v>
      </c>
      <c r="AZ361" t="s">
        <v>74</v>
      </c>
      <c r="BA361" t="s">
        <v>74</v>
      </c>
      <c r="BB361">
        <v>626</v>
      </c>
      <c r="BC361">
        <v>630</v>
      </c>
      <c r="BD361" t="s">
        <v>74</v>
      </c>
      <c r="BE361" t="s">
        <v>5498</v>
      </c>
      <c r="BF361" t="str">
        <f>HYPERLINK("http://dx.doi.org/10.1002/asna.200410303","http://dx.doi.org/10.1002/asna.200410303")</f>
        <v>http://dx.doi.org/10.1002/asna.200410303</v>
      </c>
      <c r="BG361" t="s">
        <v>74</v>
      </c>
      <c r="BH361" t="s">
        <v>74</v>
      </c>
      <c r="BI361">
        <v>5</v>
      </c>
      <c r="BJ361" t="s">
        <v>395</v>
      </c>
      <c r="BK361" t="s">
        <v>1116</v>
      </c>
      <c r="BL361" t="s">
        <v>395</v>
      </c>
      <c r="BM361" t="s">
        <v>5486</v>
      </c>
      <c r="BN361" t="s">
        <v>74</v>
      </c>
      <c r="BO361" t="s">
        <v>74</v>
      </c>
      <c r="BP361" t="s">
        <v>74</v>
      </c>
      <c r="BQ361" t="s">
        <v>74</v>
      </c>
      <c r="BR361" t="s">
        <v>99</v>
      </c>
      <c r="BS361" t="s">
        <v>5499</v>
      </c>
      <c r="BT361" t="str">
        <f>HYPERLINK("https%3A%2F%2Fwww.webofscience.com%2Fwos%2Fwoscc%2Ffull-record%2FWOS:000225072700037","View Full Record in Web of Science")</f>
        <v>View Full Record in Web of Science</v>
      </c>
    </row>
    <row r="362" spans="1:72" x14ac:dyDescent="0.15">
      <c r="A362" t="s">
        <v>72</v>
      </c>
      <c r="B362" t="s">
        <v>5500</v>
      </c>
      <c r="C362" t="s">
        <v>74</v>
      </c>
      <c r="D362" t="s">
        <v>74</v>
      </c>
      <c r="E362" t="s">
        <v>74</v>
      </c>
      <c r="F362" t="s">
        <v>5500</v>
      </c>
      <c r="G362" t="s">
        <v>74</v>
      </c>
      <c r="H362" t="s">
        <v>74</v>
      </c>
      <c r="I362" t="s">
        <v>5501</v>
      </c>
      <c r="J362" t="s">
        <v>5470</v>
      </c>
      <c r="K362" t="s">
        <v>74</v>
      </c>
      <c r="L362" t="s">
        <v>74</v>
      </c>
      <c r="M362" t="s">
        <v>77</v>
      </c>
      <c r="N362" t="s">
        <v>311</v>
      </c>
      <c r="O362" t="s">
        <v>5471</v>
      </c>
      <c r="P362" t="s">
        <v>5472</v>
      </c>
      <c r="Q362" t="s">
        <v>5473</v>
      </c>
      <c r="R362" t="s">
        <v>74</v>
      </c>
      <c r="S362" t="s">
        <v>74</v>
      </c>
      <c r="T362" t="s">
        <v>5502</v>
      </c>
      <c r="U362" t="s">
        <v>74</v>
      </c>
      <c r="V362" t="s">
        <v>5503</v>
      </c>
      <c r="W362" t="s">
        <v>5504</v>
      </c>
      <c r="X362" t="s">
        <v>5505</v>
      </c>
      <c r="Y362" t="s">
        <v>5506</v>
      </c>
      <c r="Z362" t="s">
        <v>5507</v>
      </c>
      <c r="AA362" t="s">
        <v>5508</v>
      </c>
      <c r="AB362" t="s">
        <v>5509</v>
      </c>
      <c r="AC362" t="s">
        <v>74</v>
      </c>
      <c r="AD362" t="s">
        <v>74</v>
      </c>
      <c r="AE362" t="s">
        <v>74</v>
      </c>
      <c r="AF362" t="s">
        <v>74</v>
      </c>
      <c r="AG362">
        <v>2</v>
      </c>
      <c r="AH362">
        <v>1</v>
      </c>
      <c r="AI362">
        <v>1</v>
      </c>
      <c r="AJ362">
        <v>0</v>
      </c>
      <c r="AK362">
        <v>1</v>
      </c>
      <c r="AL362" t="s">
        <v>850</v>
      </c>
      <c r="AM362" t="s">
        <v>851</v>
      </c>
      <c r="AN362" t="s">
        <v>5497</v>
      </c>
      <c r="AO362" t="s">
        <v>5480</v>
      </c>
      <c r="AP362" t="s">
        <v>74</v>
      </c>
      <c r="AQ362" t="s">
        <v>74</v>
      </c>
      <c r="AR362" t="s">
        <v>5482</v>
      </c>
      <c r="AS362" t="s">
        <v>5483</v>
      </c>
      <c r="AT362" t="s">
        <v>74</v>
      </c>
      <c r="AU362">
        <v>2004</v>
      </c>
      <c r="AV362">
        <v>325</v>
      </c>
      <c r="AW362" t="s">
        <v>5484</v>
      </c>
      <c r="AX362" t="s">
        <v>74</v>
      </c>
      <c r="AY362" t="s">
        <v>74</v>
      </c>
      <c r="AZ362" t="s">
        <v>74</v>
      </c>
      <c r="BA362" t="s">
        <v>74</v>
      </c>
      <c r="BB362">
        <v>643</v>
      </c>
      <c r="BC362">
        <v>645</v>
      </c>
      <c r="BD362" t="s">
        <v>74</v>
      </c>
      <c r="BE362" t="s">
        <v>5510</v>
      </c>
      <c r="BF362" t="str">
        <f>HYPERLINK("http://dx.doi.org/10.1002/asna.200410304","http://dx.doi.org/10.1002/asna.200410304")</f>
        <v>http://dx.doi.org/10.1002/asna.200410304</v>
      </c>
      <c r="BG362" t="s">
        <v>74</v>
      </c>
      <c r="BH362" t="s">
        <v>74</v>
      </c>
      <c r="BI362">
        <v>3</v>
      </c>
      <c r="BJ362" t="s">
        <v>395</v>
      </c>
      <c r="BK362" t="s">
        <v>1116</v>
      </c>
      <c r="BL362" t="s">
        <v>395</v>
      </c>
      <c r="BM362" t="s">
        <v>5486</v>
      </c>
      <c r="BN362" t="s">
        <v>74</v>
      </c>
      <c r="BO362" t="s">
        <v>156</v>
      </c>
      <c r="BP362" t="s">
        <v>74</v>
      </c>
      <c r="BQ362" t="s">
        <v>74</v>
      </c>
      <c r="BR362" t="s">
        <v>99</v>
      </c>
      <c r="BS362" t="s">
        <v>5511</v>
      </c>
      <c r="BT362" t="str">
        <f>HYPERLINK("https%3A%2F%2Fwww.webofscience.com%2Fwos%2Fwoscc%2Ffull-record%2FWOS:000225072700040","View Full Record in Web of Science")</f>
        <v>View Full Record in Web of Science</v>
      </c>
    </row>
    <row r="363" spans="1:72" x14ac:dyDescent="0.15">
      <c r="A363" t="s">
        <v>72</v>
      </c>
      <c r="B363" t="s">
        <v>5512</v>
      </c>
      <c r="C363" t="s">
        <v>74</v>
      </c>
      <c r="D363" t="s">
        <v>74</v>
      </c>
      <c r="E363" t="s">
        <v>74</v>
      </c>
      <c r="F363" t="s">
        <v>5512</v>
      </c>
      <c r="G363" t="s">
        <v>74</v>
      </c>
      <c r="H363" t="s">
        <v>74</v>
      </c>
      <c r="I363" t="s">
        <v>5513</v>
      </c>
      <c r="J363" t="s">
        <v>5470</v>
      </c>
      <c r="K363" t="s">
        <v>74</v>
      </c>
      <c r="L363" t="s">
        <v>74</v>
      </c>
      <c r="M363" t="s">
        <v>77</v>
      </c>
      <c r="N363" t="s">
        <v>311</v>
      </c>
      <c r="O363" t="s">
        <v>5471</v>
      </c>
      <c r="P363" t="s">
        <v>5472</v>
      </c>
      <c r="Q363" t="s">
        <v>5473</v>
      </c>
      <c r="R363" t="s">
        <v>74</v>
      </c>
      <c r="S363" t="s">
        <v>74</v>
      </c>
      <c r="T363" t="s">
        <v>74</v>
      </c>
      <c r="U363" t="s">
        <v>74</v>
      </c>
      <c r="V363" t="s">
        <v>74</v>
      </c>
      <c r="W363" t="s">
        <v>5514</v>
      </c>
      <c r="X363" t="s">
        <v>5515</v>
      </c>
      <c r="Y363" t="s">
        <v>5516</v>
      </c>
      <c r="Z363" t="s">
        <v>5517</v>
      </c>
      <c r="AA363" t="s">
        <v>5518</v>
      </c>
      <c r="AB363" t="s">
        <v>5519</v>
      </c>
      <c r="AC363" t="s">
        <v>74</v>
      </c>
      <c r="AD363" t="s">
        <v>74</v>
      </c>
      <c r="AE363" t="s">
        <v>74</v>
      </c>
      <c r="AF363" t="s">
        <v>74</v>
      </c>
      <c r="AG363">
        <v>2</v>
      </c>
      <c r="AH363">
        <v>1</v>
      </c>
      <c r="AI363">
        <v>1</v>
      </c>
      <c r="AJ363">
        <v>0</v>
      </c>
      <c r="AK363">
        <v>2</v>
      </c>
      <c r="AL363" t="s">
        <v>850</v>
      </c>
      <c r="AM363" t="s">
        <v>851</v>
      </c>
      <c r="AN363" t="s">
        <v>5497</v>
      </c>
      <c r="AO363" t="s">
        <v>5480</v>
      </c>
      <c r="AP363" t="s">
        <v>74</v>
      </c>
      <c r="AQ363" t="s">
        <v>74</v>
      </c>
      <c r="AR363" t="s">
        <v>5482</v>
      </c>
      <c r="AS363" t="s">
        <v>5483</v>
      </c>
      <c r="AT363" t="s">
        <v>74</v>
      </c>
      <c r="AU363">
        <v>2004</v>
      </c>
      <c r="AV363">
        <v>325</v>
      </c>
      <c r="AW363" t="s">
        <v>5484</v>
      </c>
      <c r="AX363" t="s">
        <v>74</v>
      </c>
      <c r="AY363" t="s">
        <v>74</v>
      </c>
      <c r="AZ363" t="s">
        <v>74</v>
      </c>
      <c r="BA363" t="s">
        <v>74</v>
      </c>
      <c r="BB363">
        <v>664</v>
      </c>
      <c r="BC363">
        <v>664</v>
      </c>
      <c r="BD363" t="s">
        <v>74</v>
      </c>
      <c r="BE363" t="s">
        <v>5520</v>
      </c>
      <c r="BF363" t="str">
        <f>HYPERLINK("http://dx.doi.org/10.1002/asna.200410318","http://dx.doi.org/10.1002/asna.200410318")</f>
        <v>http://dx.doi.org/10.1002/asna.200410318</v>
      </c>
      <c r="BG363" t="s">
        <v>74</v>
      </c>
      <c r="BH363" t="s">
        <v>74</v>
      </c>
      <c r="BI363">
        <v>1</v>
      </c>
      <c r="BJ363" t="s">
        <v>395</v>
      </c>
      <c r="BK363" t="s">
        <v>1116</v>
      </c>
      <c r="BL363" t="s">
        <v>395</v>
      </c>
      <c r="BM363" t="s">
        <v>5486</v>
      </c>
      <c r="BN363" t="s">
        <v>74</v>
      </c>
      <c r="BO363" t="s">
        <v>74</v>
      </c>
      <c r="BP363" t="s">
        <v>74</v>
      </c>
      <c r="BQ363" t="s">
        <v>74</v>
      </c>
      <c r="BR363" t="s">
        <v>99</v>
      </c>
      <c r="BS363" t="s">
        <v>5521</v>
      </c>
      <c r="BT363" t="str">
        <f>HYPERLINK("https%3A%2F%2Fwww.webofscience.com%2Fwos%2Fwoscc%2Ffull-record%2FWOS:000225072700055","View Full Record in Web of Science")</f>
        <v>View Full Record in Web of Science</v>
      </c>
    </row>
    <row r="364" spans="1:72" x14ac:dyDescent="0.15">
      <c r="A364" t="s">
        <v>72</v>
      </c>
      <c r="B364" t="s">
        <v>5522</v>
      </c>
      <c r="C364" t="s">
        <v>74</v>
      </c>
      <c r="D364" t="s">
        <v>74</v>
      </c>
      <c r="E364" t="s">
        <v>74</v>
      </c>
      <c r="F364" t="s">
        <v>5522</v>
      </c>
      <c r="G364" t="s">
        <v>74</v>
      </c>
      <c r="H364" t="s">
        <v>74</v>
      </c>
      <c r="I364" t="s">
        <v>5523</v>
      </c>
      <c r="J364" t="s">
        <v>5524</v>
      </c>
      <c r="K364" t="s">
        <v>74</v>
      </c>
      <c r="L364" t="s">
        <v>74</v>
      </c>
      <c r="M364" t="s">
        <v>77</v>
      </c>
      <c r="N364" t="s">
        <v>78</v>
      </c>
      <c r="O364" t="s">
        <v>74</v>
      </c>
      <c r="P364" t="s">
        <v>74</v>
      </c>
      <c r="Q364" t="s">
        <v>74</v>
      </c>
      <c r="R364" t="s">
        <v>74</v>
      </c>
      <c r="S364" t="s">
        <v>74</v>
      </c>
      <c r="T364" t="s">
        <v>5525</v>
      </c>
      <c r="U364" t="s">
        <v>5526</v>
      </c>
      <c r="V364" t="s">
        <v>5527</v>
      </c>
      <c r="W364" t="s">
        <v>5528</v>
      </c>
      <c r="X364" t="s">
        <v>5529</v>
      </c>
      <c r="Y364" t="s">
        <v>5530</v>
      </c>
      <c r="Z364" t="s">
        <v>5531</v>
      </c>
      <c r="AA364" t="s">
        <v>74</v>
      </c>
      <c r="AB364" t="s">
        <v>5532</v>
      </c>
      <c r="AC364" t="s">
        <v>74</v>
      </c>
      <c r="AD364" t="s">
        <v>74</v>
      </c>
      <c r="AE364" t="s">
        <v>74</v>
      </c>
      <c r="AF364" t="s">
        <v>74</v>
      </c>
      <c r="AG364">
        <v>43</v>
      </c>
      <c r="AH364">
        <v>95</v>
      </c>
      <c r="AI364">
        <v>99</v>
      </c>
      <c r="AJ364">
        <v>0</v>
      </c>
      <c r="AK364">
        <v>4</v>
      </c>
      <c r="AL364" t="s">
        <v>5533</v>
      </c>
      <c r="AM364" t="s">
        <v>5534</v>
      </c>
      <c r="AN364" t="s">
        <v>5535</v>
      </c>
      <c r="AO364" t="s">
        <v>5536</v>
      </c>
      <c r="AP364" t="s">
        <v>5537</v>
      </c>
      <c r="AQ364" t="s">
        <v>74</v>
      </c>
      <c r="AR364" t="s">
        <v>5538</v>
      </c>
      <c r="AS364" t="s">
        <v>5539</v>
      </c>
      <c r="AT364" t="s">
        <v>4117</v>
      </c>
      <c r="AU364">
        <v>2004</v>
      </c>
      <c r="AV364">
        <v>150</v>
      </c>
      <c r="AW364">
        <v>1</v>
      </c>
      <c r="AX364" t="s">
        <v>74</v>
      </c>
      <c r="AY364" t="s">
        <v>74</v>
      </c>
      <c r="AZ364" t="s">
        <v>74</v>
      </c>
      <c r="BA364" t="s">
        <v>74</v>
      </c>
      <c r="BB364">
        <v>239</v>
      </c>
      <c r="BC364">
        <v>262</v>
      </c>
      <c r="BD364" t="s">
        <v>74</v>
      </c>
      <c r="BE364" t="s">
        <v>5540</v>
      </c>
      <c r="BF364" t="str">
        <f>HYPERLINK("http://dx.doi.org/10.1086/379661","http://dx.doi.org/10.1086/379661")</f>
        <v>http://dx.doi.org/10.1086/379661</v>
      </c>
      <c r="BG364" t="s">
        <v>74</v>
      </c>
      <c r="BH364" t="s">
        <v>74</v>
      </c>
      <c r="BI364">
        <v>24</v>
      </c>
      <c r="BJ364" t="s">
        <v>395</v>
      </c>
      <c r="BK364" t="s">
        <v>96</v>
      </c>
      <c r="BL364" t="s">
        <v>395</v>
      </c>
      <c r="BM364" t="s">
        <v>5541</v>
      </c>
      <c r="BN364" t="s">
        <v>74</v>
      </c>
      <c r="BO364" t="s">
        <v>541</v>
      </c>
      <c r="BP364" t="s">
        <v>74</v>
      </c>
      <c r="BQ364" t="s">
        <v>74</v>
      </c>
      <c r="BR364" t="s">
        <v>99</v>
      </c>
      <c r="BS364" t="s">
        <v>5542</v>
      </c>
      <c r="BT364" t="str">
        <f>HYPERLINK("https%3A%2F%2Fwww.webofscience.com%2Fwos%2Fwoscc%2Ffull-record%2FWOS:000188535300008","View Full Record in Web of Science")</f>
        <v>View Full Record in Web of Science</v>
      </c>
    </row>
    <row r="365" spans="1:72" x14ac:dyDescent="0.15">
      <c r="A365" t="s">
        <v>72</v>
      </c>
      <c r="B365" t="s">
        <v>5543</v>
      </c>
      <c r="C365" t="s">
        <v>74</v>
      </c>
      <c r="D365" t="s">
        <v>74</v>
      </c>
      <c r="E365" t="s">
        <v>74</v>
      </c>
      <c r="F365" t="s">
        <v>5543</v>
      </c>
      <c r="G365" t="s">
        <v>74</v>
      </c>
      <c r="H365" t="s">
        <v>74</v>
      </c>
      <c r="I365" t="s">
        <v>5544</v>
      </c>
      <c r="J365" t="s">
        <v>5545</v>
      </c>
      <c r="K365" t="s">
        <v>74</v>
      </c>
      <c r="L365" t="s">
        <v>74</v>
      </c>
      <c r="M365" t="s">
        <v>77</v>
      </c>
      <c r="N365" t="s">
        <v>78</v>
      </c>
      <c r="O365" t="s">
        <v>74</v>
      </c>
      <c r="P365" t="s">
        <v>74</v>
      </c>
      <c r="Q365" t="s">
        <v>74</v>
      </c>
      <c r="R365" t="s">
        <v>74</v>
      </c>
      <c r="S365" t="s">
        <v>74</v>
      </c>
      <c r="T365" t="s">
        <v>74</v>
      </c>
      <c r="U365" t="s">
        <v>5546</v>
      </c>
      <c r="V365" t="s">
        <v>5547</v>
      </c>
      <c r="W365" t="s">
        <v>5548</v>
      </c>
      <c r="X365" t="s">
        <v>5549</v>
      </c>
      <c r="Y365" t="s">
        <v>5550</v>
      </c>
      <c r="Z365" t="s">
        <v>5551</v>
      </c>
      <c r="AA365" t="s">
        <v>5552</v>
      </c>
      <c r="AB365" t="s">
        <v>5553</v>
      </c>
      <c r="AC365" t="s">
        <v>74</v>
      </c>
      <c r="AD365" t="s">
        <v>74</v>
      </c>
      <c r="AE365" t="s">
        <v>74</v>
      </c>
      <c r="AF365" t="s">
        <v>74</v>
      </c>
      <c r="AG365">
        <v>42</v>
      </c>
      <c r="AH365">
        <v>23</v>
      </c>
      <c r="AI365">
        <v>27</v>
      </c>
      <c r="AJ365">
        <v>0</v>
      </c>
      <c r="AK365">
        <v>4</v>
      </c>
      <c r="AL365" t="s">
        <v>5554</v>
      </c>
      <c r="AM365" t="s">
        <v>5555</v>
      </c>
      <c r="AN365" t="s">
        <v>5556</v>
      </c>
      <c r="AO365" t="s">
        <v>5557</v>
      </c>
      <c r="AP365" t="s">
        <v>5558</v>
      </c>
      <c r="AQ365" t="s">
        <v>74</v>
      </c>
      <c r="AR365" t="s">
        <v>5559</v>
      </c>
      <c r="AS365" t="s">
        <v>5560</v>
      </c>
      <c r="AT365" t="s">
        <v>74</v>
      </c>
      <c r="AU365">
        <v>2004</v>
      </c>
      <c r="AV365">
        <v>52</v>
      </c>
      <c r="AW365">
        <v>4</v>
      </c>
      <c r="AX365" t="s">
        <v>74</v>
      </c>
      <c r="AY365" t="s">
        <v>74</v>
      </c>
      <c r="AZ365" t="s">
        <v>74</v>
      </c>
      <c r="BA365" t="s">
        <v>74</v>
      </c>
      <c r="BB365">
        <v>379</v>
      </c>
      <c r="BC365">
        <v>388</v>
      </c>
      <c r="BD365" t="s">
        <v>74</v>
      </c>
      <c r="BE365" t="s">
        <v>5561</v>
      </c>
      <c r="BF365" t="str">
        <f>HYPERLINK("http://dx.doi.org/10.1071/ZO03038","http://dx.doi.org/10.1071/ZO03038")</f>
        <v>http://dx.doi.org/10.1071/ZO03038</v>
      </c>
      <c r="BG365" t="s">
        <v>74</v>
      </c>
      <c r="BH365" t="s">
        <v>74</v>
      </c>
      <c r="BI365">
        <v>10</v>
      </c>
      <c r="BJ365" t="s">
        <v>331</v>
      </c>
      <c r="BK365" t="s">
        <v>96</v>
      </c>
      <c r="BL365" t="s">
        <v>331</v>
      </c>
      <c r="BM365" t="s">
        <v>5562</v>
      </c>
      <c r="BN365" t="s">
        <v>74</v>
      </c>
      <c r="BO365" t="s">
        <v>74</v>
      </c>
      <c r="BP365" t="s">
        <v>74</v>
      </c>
      <c r="BQ365" t="s">
        <v>74</v>
      </c>
      <c r="BR365" t="s">
        <v>99</v>
      </c>
      <c r="BS365" t="s">
        <v>5563</v>
      </c>
      <c r="BT365" t="str">
        <f>HYPERLINK("https%3A%2F%2Fwww.webofscience.com%2Fwos%2Fwoscc%2Ffull-record%2FWOS:000223773500004","View Full Record in Web of Science")</f>
        <v>View Full Record in Web of Science</v>
      </c>
    </row>
    <row r="366" spans="1:72" x14ac:dyDescent="0.15">
      <c r="A366" t="s">
        <v>497</v>
      </c>
      <c r="B366" t="s">
        <v>5564</v>
      </c>
      <c r="C366" t="s">
        <v>74</v>
      </c>
      <c r="D366" t="s">
        <v>5565</v>
      </c>
      <c r="E366" t="s">
        <v>74</v>
      </c>
      <c r="F366" t="s">
        <v>5564</v>
      </c>
      <c r="G366" t="s">
        <v>74</v>
      </c>
      <c r="H366" t="s">
        <v>74</v>
      </c>
      <c r="I366" t="s">
        <v>5566</v>
      </c>
      <c r="J366" t="s">
        <v>5567</v>
      </c>
      <c r="K366" t="s">
        <v>5568</v>
      </c>
      <c r="L366" t="s">
        <v>74</v>
      </c>
      <c r="M366" t="s">
        <v>77</v>
      </c>
      <c r="N366" t="s">
        <v>311</v>
      </c>
      <c r="O366" t="s">
        <v>5569</v>
      </c>
      <c r="P366" t="s">
        <v>5570</v>
      </c>
      <c r="Q366" t="s">
        <v>5571</v>
      </c>
      <c r="R366" t="s">
        <v>74</v>
      </c>
      <c r="S366" t="s">
        <v>74</v>
      </c>
      <c r="T366" t="s">
        <v>74</v>
      </c>
      <c r="U366" t="s">
        <v>5572</v>
      </c>
      <c r="V366" t="s">
        <v>5573</v>
      </c>
      <c r="W366" t="s">
        <v>5574</v>
      </c>
      <c r="X366" t="s">
        <v>5575</v>
      </c>
      <c r="Y366" t="s">
        <v>5576</v>
      </c>
      <c r="Z366" t="s">
        <v>74</v>
      </c>
      <c r="AA366" t="s">
        <v>5577</v>
      </c>
      <c r="AB366" t="s">
        <v>74</v>
      </c>
      <c r="AC366" t="s">
        <v>74</v>
      </c>
      <c r="AD366" t="s">
        <v>74</v>
      </c>
      <c r="AE366" t="s">
        <v>74</v>
      </c>
      <c r="AF366" t="s">
        <v>74</v>
      </c>
      <c r="AG366">
        <v>27</v>
      </c>
      <c r="AH366">
        <v>6</v>
      </c>
      <c r="AI366">
        <v>9</v>
      </c>
      <c r="AJ366">
        <v>0</v>
      </c>
      <c r="AK366">
        <v>7</v>
      </c>
      <c r="AL366" t="s">
        <v>5578</v>
      </c>
      <c r="AM366" t="s">
        <v>5579</v>
      </c>
      <c r="AN366" t="s">
        <v>5580</v>
      </c>
      <c r="AO366" t="s">
        <v>5581</v>
      </c>
      <c r="AP366" t="s">
        <v>74</v>
      </c>
      <c r="AQ366" t="s">
        <v>5582</v>
      </c>
      <c r="AR366" t="s">
        <v>5583</v>
      </c>
      <c r="AS366" t="s">
        <v>74</v>
      </c>
      <c r="AT366" t="s">
        <v>74</v>
      </c>
      <c r="AU366">
        <v>2004</v>
      </c>
      <c r="AV366" t="s">
        <v>74</v>
      </c>
      <c r="AW366">
        <v>213</v>
      </c>
      <c r="AX366" t="s">
        <v>74</v>
      </c>
      <c r="AY366" t="s">
        <v>74</v>
      </c>
      <c r="AZ366" t="s">
        <v>74</v>
      </c>
      <c r="BA366" t="s">
        <v>74</v>
      </c>
      <c r="BB366">
        <v>381</v>
      </c>
      <c r="BC366">
        <v>388</v>
      </c>
      <c r="BD366" t="s">
        <v>74</v>
      </c>
      <c r="BE366" t="s">
        <v>74</v>
      </c>
      <c r="BF366" t="s">
        <v>74</v>
      </c>
      <c r="BG366" t="s">
        <v>74</v>
      </c>
      <c r="BH366" t="s">
        <v>74</v>
      </c>
      <c r="BI366">
        <v>8</v>
      </c>
      <c r="BJ366" t="s">
        <v>5584</v>
      </c>
      <c r="BK366" t="s">
        <v>1116</v>
      </c>
      <c r="BL366" t="s">
        <v>5585</v>
      </c>
      <c r="BM366" t="s">
        <v>5586</v>
      </c>
      <c r="BN366" t="s">
        <v>74</v>
      </c>
      <c r="BO366" t="s">
        <v>74</v>
      </c>
      <c r="BP366" t="s">
        <v>74</v>
      </c>
      <c r="BQ366" t="s">
        <v>74</v>
      </c>
      <c r="BR366" t="s">
        <v>99</v>
      </c>
      <c r="BS366" t="s">
        <v>5587</v>
      </c>
      <c r="BT366" t="str">
        <f>HYPERLINK("https%3A%2F%2Fwww.webofscience.com%2Fwos%2Fwoscc%2Ffull-record%2FWOS:000223367000070","View Full Record in Web of Science")</f>
        <v>View Full Record in Web of Science</v>
      </c>
    </row>
    <row r="367" spans="1:72" x14ac:dyDescent="0.15">
      <c r="A367" t="s">
        <v>3934</v>
      </c>
      <c r="B367" t="s">
        <v>5588</v>
      </c>
      <c r="C367" t="s">
        <v>74</v>
      </c>
      <c r="D367" t="s">
        <v>5589</v>
      </c>
      <c r="E367" t="s">
        <v>74</v>
      </c>
      <c r="F367" t="s">
        <v>5588</v>
      </c>
      <c r="G367" t="s">
        <v>74</v>
      </c>
      <c r="H367" t="s">
        <v>74</v>
      </c>
      <c r="I367" t="s">
        <v>5590</v>
      </c>
      <c r="J367" t="s">
        <v>5591</v>
      </c>
      <c r="K367" t="s">
        <v>74</v>
      </c>
      <c r="L367" t="s">
        <v>74</v>
      </c>
      <c r="M367" t="s">
        <v>77</v>
      </c>
      <c r="N367" t="s">
        <v>3940</v>
      </c>
      <c r="O367" t="s">
        <v>5592</v>
      </c>
      <c r="P367" t="s">
        <v>5593</v>
      </c>
      <c r="Q367" t="s">
        <v>5594</v>
      </c>
      <c r="R367" t="s">
        <v>74</v>
      </c>
      <c r="S367" t="s">
        <v>5595</v>
      </c>
      <c r="T367" t="s">
        <v>74</v>
      </c>
      <c r="U367" t="s">
        <v>5596</v>
      </c>
      <c r="V367" t="s">
        <v>5597</v>
      </c>
      <c r="W367" t="s">
        <v>647</v>
      </c>
      <c r="X367" t="s">
        <v>82</v>
      </c>
      <c r="Y367" t="s">
        <v>5598</v>
      </c>
      <c r="Z367" t="s">
        <v>5599</v>
      </c>
      <c r="AA367" t="s">
        <v>74</v>
      </c>
      <c r="AB367" t="s">
        <v>74</v>
      </c>
      <c r="AC367" t="s">
        <v>74</v>
      </c>
      <c r="AD367" t="s">
        <v>74</v>
      </c>
      <c r="AE367" t="s">
        <v>74</v>
      </c>
      <c r="AF367" t="s">
        <v>74</v>
      </c>
      <c r="AG367">
        <v>15</v>
      </c>
      <c r="AH367">
        <v>0</v>
      </c>
      <c r="AI367">
        <v>0</v>
      </c>
      <c r="AJ367">
        <v>0</v>
      </c>
      <c r="AK367">
        <v>7</v>
      </c>
      <c r="AL367" t="s">
        <v>5600</v>
      </c>
      <c r="AM367" t="s">
        <v>5601</v>
      </c>
      <c r="AN367" t="s">
        <v>5602</v>
      </c>
      <c r="AO367" t="s">
        <v>74</v>
      </c>
      <c r="AP367" t="s">
        <v>74</v>
      </c>
      <c r="AQ367" t="s">
        <v>5603</v>
      </c>
      <c r="AR367" t="s">
        <v>74</v>
      </c>
      <c r="AS367" t="s">
        <v>74</v>
      </c>
      <c r="AT367" t="s">
        <v>74</v>
      </c>
      <c r="AU367">
        <v>2004</v>
      </c>
      <c r="AV367" t="s">
        <v>74</v>
      </c>
      <c r="AW367" t="s">
        <v>74</v>
      </c>
      <c r="AX367" t="s">
        <v>74</v>
      </c>
      <c r="AY367" t="s">
        <v>74</v>
      </c>
      <c r="AZ367" t="s">
        <v>74</v>
      </c>
      <c r="BA367" t="s">
        <v>74</v>
      </c>
      <c r="BB367">
        <v>193</v>
      </c>
      <c r="BC367">
        <v>201</v>
      </c>
      <c r="BD367" t="s">
        <v>74</v>
      </c>
      <c r="BE367" t="s">
        <v>74</v>
      </c>
      <c r="BF367" t="s">
        <v>74</v>
      </c>
      <c r="BG367" t="s">
        <v>74</v>
      </c>
      <c r="BH367" t="s">
        <v>74</v>
      </c>
      <c r="BI367">
        <v>9</v>
      </c>
      <c r="BJ367" t="s">
        <v>5604</v>
      </c>
      <c r="BK367" t="s">
        <v>3955</v>
      </c>
      <c r="BL367" t="s">
        <v>5605</v>
      </c>
      <c r="BM367" t="s">
        <v>5606</v>
      </c>
      <c r="BN367" t="s">
        <v>74</v>
      </c>
      <c r="BO367" t="s">
        <v>74</v>
      </c>
      <c r="BP367" t="s">
        <v>74</v>
      </c>
      <c r="BQ367" t="s">
        <v>74</v>
      </c>
      <c r="BR367" t="s">
        <v>99</v>
      </c>
      <c r="BS367" t="s">
        <v>5607</v>
      </c>
      <c r="BT367" t="str">
        <f>HYPERLINK("https%3A%2F%2Fwww.webofscience.com%2Fwos%2Fwoscc%2Ffull-record%2FWOS:000223347700019","View Full Record in Web of Science")</f>
        <v>View Full Record in Web of Science</v>
      </c>
    </row>
    <row r="368" spans="1:72" x14ac:dyDescent="0.15">
      <c r="A368" t="s">
        <v>72</v>
      </c>
      <c r="B368" t="s">
        <v>5608</v>
      </c>
      <c r="C368" t="s">
        <v>74</v>
      </c>
      <c r="D368" t="s">
        <v>74</v>
      </c>
      <c r="E368" t="s">
        <v>74</v>
      </c>
      <c r="F368" t="s">
        <v>5608</v>
      </c>
      <c r="G368" t="s">
        <v>74</v>
      </c>
      <c r="H368" t="s">
        <v>74</v>
      </c>
      <c r="I368" t="s">
        <v>5609</v>
      </c>
      <c r="J368" t="s">
        <v>5610</v>
      </c>
      <c r="K368" t="s">
        <v>74</v>
      </c>
      <c r="L368" t="s">
        <v>74</v>
      </c>
      <c r="M368" t="s">
        <v>77</v>
      </c>
      <c r="N368" t="s">
        <v>78</v>
      </c>
      <c r="O368" t="s">
        <v>74</v>
      </c>
      <c r="P368" t="s">
        <v>74</v>
      </c>
      <c r="Q368" t="s">
        <v>74</v>
      </c>
      <c r="R368" t="s">
        <v>74</v>
      </c>
      <c r="S368" t="s">
        <v>74</v>
      </c>
      <c r="T368" t="s">
        <v>5611</v>
      </c>
      <c r="U368" t="s">
        <v>74</v>
      </c>
      <c r="V368" t="s">
        <v>5612</v>
      </c>
      <c r="W368" t="s">
        <v>5613</v>
      </c>
      <c r="X368" t="s">
        <v>5614</v>
      </c>
      <c r="Y368" t="s">
        <v>74</v>
      </c>
      <c r="Z368" t="s">
        <v>5615</v>
      </c>
      <c r="AA368" t="s">
        <v>74</v>
      </c>
      <c r="AB368" t="s">
        <v>74</v>
      </c>
      <c r="AC368" t="s">
        <v>74</v>
      </c>
      <c r="AD368" t="s">
        <v>74</v>
      </c>
      <c r="AE368" t="s">
        <v>74</v>
      </c>
      <c r="AF368" t="s">
        <v>74</v>
      </c>
      <c r="AG368">
        <v>26</v>
      </c>
      <c r="AH368">
        <v>8</v>
      </c>
      <c r="AI368">
        <v>10</v>
      </c>
      <c r="AJ368">
        <v>1</v>
      </c>
      <c r="AK368">
        <v>6</v>
      </c>
      <c r="AL368" t="s">
        <v>5616</v>
      </c>
      <c r="AM368" t="s">
        <v>5601</v>
      </c>
      <c r="AN368" t="s">
        <v>5617</v>
      </c>
      <c r="AO368" t="s">
        <v>5618</v>
      </c>
      <c r="AP368" t="s">
        <v>5619</v>
      </c>
      <c r="AQ368" t="s">
        <v>74</v>
      </c>
      <c r="AR368" t="s">
        <v>5620</v>
      </c>
      <c r="AS368" t="s">
        <v>5621</v>
      </c>
      <c r="AT368" t="s">
        <v>74</v>
      </c>
      <c r="AU368">
        <v>2004</v>
      </c>
      <c r="AV368">
        <v>47</v>
      </c>
      <c r="AW368">
        <v>4</v>
      </c>
      <c r="AX368" t="s">
        <v>74</v>
      </c>
      <c r="AY368" t="s">
        <v>74</v>
      </c>
      <c r="AZ368" t="s">
        <v>74</v>
      </c>
      <c r="BA368" t="s">
        <v>74</v>
      </c>
      <c r="BB368">
        <v>349</v>
      </c>
      <c r="BC368">
        <v>355</v>
      </c>
      <c r="BD368" t="s">
        <v>74</v>
      </c>
      <c r="BE368" t="s">
        <v>5622</v>
      </c>
      <c r="BF368" t="str">
        <f>HYPERLINK("http://dx.doi.org/10.1515/BOT.2004.041","http://dx.doi.org/10.1515/BOT.2004.041")</f>
        <v>http://dx.doi.org/10.1515/BOT.2004.041</v>
      </c>
      <c r="BG368" t="s">
        <v>74</v>
      </c>
      <c r="BH368" t="s">
        <v>74</v>
      </c>
      <c r="BI368">
        <v>7</v>
      </c>
      <c r="BJ368" t="s">
        <v>3151</v>
      </c>
      <c r="BK368" t="s">
        <v>96</v>
      </c>
      <c r="BL368" t="s">
        <v>3151</v>
      </c>
      <c r="BM368" t="s">
        <v>5623</v>
      </c>
      <c r="BN368" t="s">
        <v>74</v>
      </c>
      <c r="BO368" t="s">
        <v>74</v>
      </c>
      <c r="BP368" t="s">
        <v>74</v>
      </c>
      <c r="BQ368" t="s">
        <v>74</v>
      </c>
      <c r="BR368" t="s">
        <v>99</v>
      </c>
      <c r="BS368" t="s">
        <v>5624</v>
      </c>
      <c r="BT368" t="str">
        <f>HYPERLINK("https%3A%2F%2Fwww.webofscience.com%2Fwos%2Fwoscc%2Ffull-record%2FWOS:000223556000011","View Full Record in Web of Science")</f>
        <v>View Full Record in Web of Science</v>
      </c>
    </row>
    <row r="369" spans="1:72" x14ac:dyDescent="0.15">
      <c r="A369" t="s">
        <v>72</v>
      </c>
      <c r="B369" t="s">
        <v>5625</v>
      </c>
      <c r="C369" t="s">
        <v>74</v>
      </c>
      <c r="D369" t="s">
        <v>74</v>
      </c>
      <c r="E369" t="s">
        <v>74</v>
      </c>
      <c r="F369" t="s">
        <v>5625</v>
      </c>
      <c r="G369" t="s">
        <v>74</v>
      </c>
      <c r="H369" t="s">
        <v>74</v>
      </c>
      <c r="I369" t="s">
        <v>5626</v>
      </c>
      <c r="J369" t="s">
        <v>5627</v>
      </c>
      <c r="K369" t="s">
        <v>74</v>
      </c>
      <c r="L369" t="s">
        <v>74</v>
      </c>
      <c r="M369" t="s">
        <v>5628</v>
      </c>
      <c r="N369" t="s">
        <v>78</v>
      </c>
      <c r="O369" t="s">
        <v>74</v>
      </c>
      <c r="P369" t="s">
        <v>74</v>
      </c>
      <c r="Q369" t="s">
        <v>74</v>
      </c>
      <c r="R369" t="s">
        <v>74</v>
      </c>
      <c r="S369" t="s">
        <v>74</v>
      </c>
      <c r="T369" t="s">
        <v>5629</v>
      </c>
      <c r="U369" t="s">
        <v>5630</v>
      </c>
      <c r="V369" t="s">
        <v>5631</v>
      </c>
      <c r="W369" t="s">
        <v>5632</v>
      </c>
      <c r="X369" t="s">
        <v>5633</v>
      </c>
      <c r="Y369" t="s">
        <v>5634</v>
      </c>
      <c r="Z369" t="s">
        <v>5635</v>
      </c>
      <c r="AA369" t="s">
        <v>5636</v>
      </c>
      <c r="AB369" t="s">
        <v>5637</v>
      </c>
      <c r="AC369" t="s">
        <v>74</v>
      </c>
      <c r="AD369" t="s">
        <v>74</v>
      </c>
      <c r="AE369" t="s">
        <v>74</v>
      </c>
      <c r="AF369" t="s">
        <v>74</v>
      </c>
      <c r="AG369">
        <v>46</v>
      </c>
      <c r="AH369">
        <v>49</v>
      </c>
      <c r="AI369">
        <v>50</v>
      </c>
      <c r="AJ369">
        <v>1</v>
      </c>
      <c r="AK369">
        <v>24</v>
      </c>
      <c r="AL369" t="s">
        <v>5638</v>
      </c>
      <c r="AM369" t="s">
        <v>5639</v>
      </c>
      <c r="AN369" t="s">
        <v>5640</v>
      </c>
      <c r="AO369" t="s">
        <v>5641</v>
      </c>
      <c r="AP369" t="s">
        <v>5642</v>
      </c>
      <c r="AQ369" t="s">
        <v>74</v>
      </c>
      <c r="AR369" t="s">
        <v>5643</v>
      </c>
      <c r="AS369" t="s">
        <v>5644</v>
      </c>
      <c r="AT369" t="s">
        <v>74</v>
      </c>
      <c r="AU369">
        <v>2004</v>
      </c>
      <c r="AV369">
        <v>175</v>
      </c>
      <c r="AW369">
        <v>6</v>
      </c>
      <c r="AX369" t="s">
        <v>74</v>
      </c>
      <c r="AY369" t="s">
        <v>74</v>
      </c>
      <c r="AZ369" t="s">
        <v>74</v>
      </c>
      <c r="BA369" t="s">
        <v>74</v>
      </c>
      <c r="BB369">
        <v>629</v>
      </c>
      <c r="BC369">
        <v>641</v>
      </c>
      <c r="BD369" t="s">
        <v>74</v>
      </c>
      <c r="BE369" t="s">
        <v>5645</v>
      </c>
      <c r="BF369" t="str">
        <f>HYPERLINK("http://dx.doi.org/10.2113/175.6.629","http://dx.doi.org/10.2113/175.6.629")</f>
        <v>http://dx.doi.org/10.2113/175.6.629</v>
      </c>
      <c r="BG369" t="s">
        <v>74</v>
      </c>
      <c r="BH369" t="s">
        <v>74</v>
      </c>
      <c r="BI369">
        <v>13</v>
      </c>
      <c r="BJ369" t="s">
        <v>560</v>
      </c>
      <c r="BK369" t="s">
        <v>96</v>
      </c>
      <c r="BL369" t="s">
        <v>561</v>
      </c>
      <c r="BM369" t="s">
        <v>5646</v>
      </c>
      <c r="BN369" t="s">
        <v>74</v>
      </c>
      <c r="BO369" t="s">
        <v>74</v>
      </c>
      <c r="BP369" t="s">
        <v>74</v>
      </c>
      <c r="BQ369" t="s">
        <v>74</v>
      </c>
      <c r="BR369" t="s">
        <v>99</v>
      </c>
      <c r="BS369" t="s">
        <v>5647</v>
      </c>
      <c r="BT369" t="str">
        <f>HYPERLINK("https%3A%2F%2Fwww.webofscience.com%2Fwos%2Fwoscc%2Ffull-record%2FWOS:000226677000008","View Full Record in Web of Science")</f>
        <v>View Full Record in Web of Science</v>
      </c>
    </row>
    <row r="370" spans="1:72" x14ac:dyDescent="0.15">
      <c r="A370" t="s">
        <v>72</v>
      </c>
      <c r="B370" t="s">
        <v>5648</v>
      </c>
      <c r="C370" t="s">
        <v>74</v>
      </c>
      <c r="D370" t="s">
        <v>74</v>
      </c>
      <c r="E370" t="s">
        <v>74</v>
      </c>
      <c r="F370" t="s">
        <v>5648</v>
      </c>
      <c r="G370" t="s">
        <v>74</v>
      </c>
      <c r="H370" t="s">
        <v>74</v>
      </c>
      <c r="I370" t="s">
        <v>5649</v>
      </c>
      <c r="J370" t="s">
        <v>5650</v>
      </c>
      <c r="K370" t="s">
        <v>74</v>
      </c>
      <c r="L370" t="s">
        <v>74</v>
      </c>
      <c r="M370" t="s">
        <v>77</v>
      </c>
      <c r="N370" t="s">
        <v>78</v>
      </c>
      <c r="O370" t="s">
        <v>74</v>
      </c>
      <c r="P370" t="s">
        <v>74</v>
      </c>
      <c r="Q370" t="s">
        <v>74</v>
      </c>
      <c r="R370" t="s">
        <v>74</v>
      </c>
      <c r="S370" t="s">
        <v>74</v>
      </c>
      <c r="T370" t="s">
        <v>5651</v>
      </c>
      <c r="U370" t="s">
        <v>5652</v>
      </c>
      <c r="V370" t="s">
        <v>5653</v>
      </c>
      <c r="W370" t="s">
        <v>5654</v>
      </c>
      <c r="X370" t="s">
        <v>5655</v>
      </c>
      <c r="Y370" t="s">
        <v>5656</v>
      </c>
      <c r="Z370" t="s">
        <v>5657</v>
      </c>
      <c r="AA370" t="s">
        <v>74</v>
      </c>
      <c r="AB370" t="s">
        <v>74</v>
      </c>
      <c r="AC370" t="s">
        <v>74</v>
      </c>
      <c r="AD370" t="s">
        <v>74</v>
      </c>
      <c r="AE370" t="s">
        <v>74</v>
      </c>
      <c r="AF370" t="s">
        <v>74</v>
      </c>
      <c r="AG370">
        <v>39</v>
      </c>
      <c r="AH370">
        <v>2</v>
      </c>
      <c r="AI370">
        <v>2</v>
      </c>
      <c r="AJ370">
        <v>0</v>
      </c>
      <c r="AK370">
        <v>2</v>
      </c>
      <c r="AL370" t="s">
        <v>5650</v>
      </c>
      <c r="AM370" t="s">
        <v>5658</v>
      </c>
      <c r="AN370" t="s">
        <v>5659</v>
      </c>
      <c r="AO370" t="s">
        <v>5660</v>
      </c>
      <c r="AP370" t="s">
        <v>5661</v>
      </c>
      <c r="AQ370" t="s">
        <v>74</v>
      </c>
      <c r="AR370" t="s">
        <v>5662</v>
      </c>
      <c r="AS370" t="s">
        <v>5663</v>
      </c>
      <c r="AT370" t="s">
        <v>74</v>
      </c>
      <c r="AU370">
        <v>2004</v>
      </c>
      <c r="AV370">
        <v>45</v>
      </c>
      <c r="AW370">
        <v>1</v>
      </c>
      <c r="AX370" t="s">
        <v>74</v>
      </c>
      <c r="AY370" t="s">
        <v>74</v>
      </c>
      <c r="AZ370" t="s">
        <v>74</v>
      </c>
      <c r="BA370" t="s">
        <v>74</v>
      </c>
      <c r="BB370">
        <v>71</v>
      </c>
      <c r="BC370">
        <v>82</v>
      </c>
      <c r="BD370" t="s">
        <v>74</v>
      </c>
      <c r="BE370" t="s">
        <v>74</v>
      </c>
      <c r="BF370" t="s">
        <v>74</v>
      </c>
      <c r="BG370" t="s">
        <v>74</v>
      </c>
      <c r="BH370" t="s">
        <v>74</v>
      </c>
      <c r="BI370">
        <v>12</v>
      </c>
      <c r="BJ370" t="s">
        <v>1770</v>
      </c>
      <c r="BK370" t="s">
        <v>96</v>
      </c>
      <c r="BL370" t="s">
        <v>1770</v>
      </c>
      <c r="BM370" t="s">
        <v>5664</v>
      </c>
      <c r="BN370" t="s">
        <v>74</v>
      </c>
      <c r="BO370" t="s">
        <v>74</v>
      </c>
      <c r="BP370" t="s">
        <v>74</v>
      </c>
      <c r="BQ370" t="s">
        <v>74</v>
      </c>
      <c r="BR370" t="s">
        <v>99</v>
      </c>
      <c r="BS370" t="s">
        <v>5665</v>
      </c>
      <c r="BT370" t="str">
        <f>HYPERLINK("https%3A%2F%2Fwww.webofscience.com%2Fwos%2Fwoscc%2Ffull-record%2FWOS:000221260400006","View Full Record in Web of Science")</f>
        <v>View Full Record in Web of Science</v>
      </c>
    </row>
    <row r="371" spans="1:72" x14ac:dyDescent="0.15">
      <c r="A371" t="s">
        <v>72</v>
      </c>
      <c r="B371" t="s">
        <v>5666</v>
      </c>
      <c r="C371" t="s">
        <v>74</v>
      </c>
      <c r="D371" t="s">
        <v>74</v>
      </c>
      <c r="E371" t="s">
        <v>74</v>
      </c>
      <c r="F371" t="s">
        <v>5666</v>
      </c>
      <c r="G371" t="s">
        <v>74</v>
      </c>
      <c r="H371" t="s">
        <v>74</v>
      </c>
      <c r="I371" t="s">
        <v>5667</v>
      </c>
      <c r="J371" t="s">
        <v>5650</v>
      </c>
      <c r="K371" t="s">
        <v>74</v>
      </c>
      <c r="L371" t="s">
        <v>74</v>
      </c>
      <c r="M371" t="s">
        <v>77</v>
      </c>
      <c r="N371" t="s">
        <v>78</v>
      </c>
      <c r="O371" t="s">
        <v>74</v>
      </c>
      <c r="P371" t="s">
        <v>74</v>
      </c>
      <c r="Q371" t="s">
        <v>74</v>
      </c>
      <c r="R371" t="s">
        <v>74</v>
      </c>
      <c r="S371" t="s">
        <v>74</v>
      </c>
      <c r="T371" t="s">
        <v>5668</v>
      </c>
      <c r="U371" t="s">
        <v>5669</v>
      </c>
      <c r="V371" t="s">
        <v>5670</v>
      </c>
      <c r="W371" t="s">
        <v>5671</v>
      </c>
      <c r="X371" t="s">
        <v>5672</v>
      </c>
      <c r="Y371" t="s">
        <v>5673</v>
      </c>
      <c r="Z371" t="s">
        <v>74</v>
      </c>
      <c r="AA371" t="s">
        <v>5674</v>
      </c>
      <c r="AB371" t="s">
        <v>5675</v>
      </c>
      <c r="AC371" t="s">
        <v>74</v>
      </c>
      <c r="AD371" t="s">
        <v>74</v>
      </c>
      <c r="AE371" t="s">
        <v>74</v>
      </c>
      <c r="AF371" t="s">
        <v>74</v>
      </c>
      <c r="AG371">
        <v>27</v>
      </c>
      <c r="AH371">
        <v>21</v>
      </c>
      <c r="AI371">
        <v>26</v>
      </c>
      <c r="AJ371">
        <v>0</v>
      </c>
      <c r="AK371">
        <v>5</v>
      </c>
      <c r="AL371" t="s">
        <v>5650</v>
      </c>
      <c r="AM371" t="s">
        <v>5658</v>
      </c>
      <c r="AN371" t="s">
        <v>5659</v>
      </c>
      <c r="AO371" t="s">
        <v>5660</v>
      </c>
      <c r="AP371" t="s">
        <v>74</v>
      </c>
      <c r="AQ371" t="s">
        <v>74</v>
      </c>
      <c r="AR371" t="s">
        <v>5662</v>
      </c>
      <c r="AS371" t="s">
        <v>5663</v>
      </c>
      <c r="AT371" t="s">
        <v>74</v>
      </c>
      <c r="AU371">
        <v>2004</v>
      </c>
      <c r="AV371">
        <v>45</v>
      </c>
      <c r="AW371">
        <v>2</v>
      </c>
      <c r="AX371" t="s">
        <v>74</v>
      </c>
      <c r="AY371" t="s">
        <v>74</v>
      </c>
      <c r="AZ371" t="s">
        <v>74</v>
      </c>
      <c r="BA371" t="s">
        <v>74</v>
      </c>
      <c r="BB371">
        <v>97</v>
      </c>
      <c r="BC371">
        <v>119</v>
      </c>
      <c r="BD371" t="s">
        <v>74</v>
      </c>
      <c r="BE371" t="s">
        <v>74</v>
      </c>
      <c r="BF371" t="s">
        <v>74</v>
      </c>
      <c r="BG371" t="s">
        <v>74</v>
      </c>
      <c r="BH371" t="s">
        <v>74</v>
      </c>
      <c r="BI371">
        <v>23</v>
      </c>
      <c r="BJ371" t="s">
        <v>1770</v>
      </c>
      <c r="BK371" t="s">
        <v>96</v>
      </c>
      <c r="BL371" t="s">
        <v>1770</v>
      </c>
      <c r="BM371" t="s">
        <v>5676</v>
      </c>
      <c r="BN371" t="s">
        <v>74</v>
      </c>
      <c r="BO371" t="s">
        <v>74</v>
      </c>
      <c r="BP371" t="s">
        <v>74</v>
      </c>
      <c r="BQ371" t="s">
        <v>74</v>
      </c>
      <c r="BR371" t="s">
        <v>99</v>
      </c>
      <c r="BS371" t="s">
        <v>5677</v>
      </c>
      <c r="BT371" t="str">
        <f>HYPERLINK("https%3A%2F%2Fwww.webofscience.com%2Fwos%2Fwoscc%2Ffull-record%2FWOS:000222690800002","View Full Record in Web of Science")</f>
        <v>View Full Record in Web of Science</v>
      </c>
    </row>
    <row r="372" spans="1:72" x14ac:dyDescent="0.15">
      <c r="A372" t="s">
        <v>72</v>
      </c>
      <c r="B372" t="s">
        <v>5678</v>
      </c>
      <c r="C372" t="s">
        <v>74</v>
      </c>
      <c r="D372" t="s">
        <v>74</v>
      </c>
      <c r="E372" t="s">
        <v>74</v>
      </c>
      <c r="F372" t="s">
        <v>5678</v>
      </c>
      <c r="G372" t="s">
        <v>74</v>
      </c>
      <c r="H372" t="s">
        <v>74</v>
      </c>
      <c r="I372" t="s">
        <v>5679</v>
      </c>
      <c r="J372" t="s">
        <v>5650</v>
      </c>
      <c r="K372" t="s">
        <v>74</v>
      </c>
      <c r="L372" t="s">
        <v>74</v>
      </c>
      <c r="M372" t="s">
        <v>77</v>
      </c>
      <c r="N372" t="s">
        <v>78</v>
      </c>
      <c r="O372" t="s">
        <v>74</v>
      </c>
      <c r="P372" t="s">
        <v>74</v>
      </c>
      <c r="Q372" t="s">
        <v>74</v>
      </c>
      <c r="R372" t="s">
        <v>74</v>
      </c>
      <c r="S372" t="s">
        <v>74</v>
      </c>
      <c r="T372" t="s">
        <v>5680</v>
      </c>
      <c r="U372" t="s">
        <v>74</v>
      </c>
      <c r="V372" t="s">
        <v>5681</v>
      </c>
      <c r="W372" t="s">
        <v>5682</v>
      </c>
      <c r="X372" t="s">
        <v>5683</v>
      </c>
      <c r="Y372" t="s">
        <v>5684</v>
      </c>
      <c r="Z372" t="s">
        <v>5685</v>
      </c>
      <c r="AA372" t="s">
        <v>74</v>
      </c>
      <c r="AB372" t="s">
        <v>74</v>
      </c>
      <c r="AC372" t="s">
        <v>74</v>
      </c>
      <c r="AD372" t="s">
        <v>74</v>
      </c>
      <c r="AE372" t="s">
        <v>74</v>
      </c>
      <c r="AF372" t="s">
        <v>74</v>
      </c>
      <c r="AG372">
        <v>20</v>
      </c>
      <c r="AH372">
        <v>1</v>
      </c>
      <c r="AI372">
        <v>1</v>
      </c>
      <c r="AJ372">
        <v>0</v>
      </c>
      <c r="AK372">
        <v>0</v>
      </c>
      <c r="AL372" t="s">
        <v>5650</v>
      </c>
      <c r="AM372" t="s">
        <v>5658</v>
      </c>
      <c r="AN372" t="s">
        <v>5659</v>
      </c>
      <c r="AO372" t="s">
        <v>5660</v>
      </c>
      <c r="AP372" t="s">
        <v>74</v>
      </c>
      <c r="AQ372" t="s">
        <v>74</v>
      </c>
      <c r="AR372" t="s">
        <v>5662</v>
      </c>
      <c r="AS372" t="s">
        <v>5663</v>
      </c>
      <c r="AT372" t="s">
        <v>74</v>
      </c>
      <c r="AU372">
        <v>2004</v>
      </c>
      <c r="AV372">
        <v>45</v>
      </c>
      <c r="AW372">
        <v>3</v>
      </c>
      <c r="AX372" t="s">
        <v>74</v>
      </c>
      <c r="AY372" t="s">
        <v>74</v>
      </c>
      <c r="AZ372" t="s">
        <v>74</v>
      </c>
      <c r="BA372" t="s">
        <v>74</v>
      </c>
      <c r="BB372">
        <v>281</v>
      </c>
      <c r="BC372">
        <v>285</v>
      </c>
      <c r="BD372" t="s">
        <v>74</v>
      </c>
      <c r="BE372" t="s">
        <v>74</v>
      </c>
      <c r="BF372" t="s">
        <v>74</v>
      </c>
      <c r="BG372" t="s">
        <v>74</v>
      </c>
      <c r="BH372" t="s">
        <v>74</v>
      </c>
      <c r="BI372">
        <v>5</v>
      </c>
      <c r="BJ372" t="s">
        <v>1770</v>
      </c>
      <c r="BK372" t="s">
        <v>96</v>
      </c>
      <c r="BL372" t="s">
        <v>1770</v>
      </c>
      <c r="BM372" t="s">
        <v>5686</v>
      </c>
      <c r="BN372" t="s">
        <v>74</v>
      </c>
      <c r="BO372" t="s">
        <v>74</v>
      </c>
      <c r="BP372" t="s">
        <v>74</v>
      </c>
      <c r="BQ372" t="s">
        <v>74</v>
      </c>
      <c r="BR372" t="s">
        <v>99</v>
      </c>
      <c r="BS372" t="s">
        <v>5687</v>
      </c>
      <c r="BT372" t="str">
        <f>HYPERLINK("https%3A%2F%2Fwww.webofscience.com%2Fwos%2Fwoscc%2Ffull-record%2FWOS:000224917700008","View Full Record in Web of Science")</f>
        <v>View Full Record in Web of Science</v>
      </c>
    </row>
    <row r="373" spans="1:72" x14ac:dyDescent="0.15">
      <c r="A373" t="s">
        <v>72</v>
      </c>
      <c r="B373" t="s">
        <v>5688</v>
      </c>
      <c r="C373" t="s">
        <v>74</v>
      </c>
      <c r="D373" t="s">
        <v>74</v>
      </c>
      <c r="E373" t="s">
        <v>74</v>
      </c>
      <c r="F373" t="s">
        <v>5688</v>
      </c>
      <c r="G373" t="s">
        <v>74</v>
      </c>
      <c r="H373" t="s">
        <v>74</v>
      </c>
      <c r="I373" t="s">
        <v>5689</v>
      </c>
      <c r="J373" t="s">
        <v>5690</v>
      </c>
      <c r="K373" t="s">
        <v>74</v>
      </c>
      <c r="L373" t="s">
        <v>74</v>
      </c>
      <c r="M373" t="s">
        <v>77</v>
      </c>
      <c r="N373" t="s">
        <v>78</v>
      </c>
      <c r="O373" t="s">
        <v>74</v>
      </c>
      <c r="P373" t="s">
        <v>74</v>
      </c>
      <c r="Q373" t="s">
        <v>74</v>
      </c>
      <c r="R373" t="s">
        <v>74</v>
      </c>
      <c r="S373" t="s">
        <v>74</v>
      </c>
      <c r="T373" t="s">
        <v>5691</v>
      </c>
      <c r="U373" t="s">
        <v>5692</v>
      </c>
      <c r="V373" t="s">
        <v>5693</v>
      </c>
      <c r="W373" t="s">
        <v>5694</v>
      </c>
      <c r="X373" t="s">
        <v>5695</v>
      </c>
      <c r="Y373" t="s">
        <v>5696</v>
      </c>
      <c r="Z373" t="s">
        <v>5697</v>
      </c>
      <c r="AA373" t="s">
        <v>74</v>
      </c>
      <c r="AB373" t="s">
        <v>74</v>
      </c>
      <c r="AC373" t="s">
        <v>74</v>
      </c>
      <c r="AD373" t="s">
        <v>74</v>
      </c>
      <c r="AE373" t="s">
        <v>74</v>
      </c>
      <c r="AF373" t="s">
        <v>74</v>
      </c>
      <c r="AG373">
        <v>33</v>
      </c>
      <c r="AH373">
        <v>13</v>
      </c>
      <c r="AI373">
        <v>16</v>
      </c>
      <c r="AJ373">
        <v>0</v>
      </c>
      <c r="AK373">
        <v>4</v>
      </c>
      <c r="AL373" t="s">
        <v>5698</v>
      </c>
      <c r="AM373" t="s">
        <v>5699</v>
      </c>
      <c r="AN373" t="s">
        <v>5700</v>
      </c>
      <c r="AO373" t="s">
        <v>5701</v>
      </c>
      <c r="AP373" t="s">
        <v>74</v>
      </c>
      <c r="AQ373" t="s">
        <v>74</v>
      </c>
      <c r="AR373" t="s">
        <v>5702</v>
      </c>
      <c r="AS373" t="s">
        <v>5703</v>
      </c>
      <c r="AT373" t="s">
        <v>74</v>
      </c>
      <c r="AU373">
        <v>2004</v>
      </c>
      <c r="AV373">
        <v>11</v>
      </c>
      <c r="AW373" t="s">
        <v>74</v>
      </c>
      <c r="AX373" t="s">
        <v>74</v>
      </c>
      <c r="AY373" t="s">
        <v>74</v>
      </c>
      <c r="AZ373" t="s">
        <v>74</v>
      </c>
      <c r="BA373" t="s">
        <v>74</v>
      </c>
      <c r="BB373">
        <v>1</v>
      </c>
      <c r="BC373">
        <v>20</v>
      </c>
      <c r="BD373" t="s">
        <v>74</v>
      </c>
      <c r="BE373" t="s">
        <v>74</v>
      </c>
      <c r="BF373" t="s">
        <v>74</v>
      </c>
      <c r="BG373" t="s">
        <v>74</v>
      </c>
      <c r="BH373" t="s">
        <v>74</v>
      </c>
      <c r="BI373">
        <v>20</v>
      </c>
      <c r="BJ373" t="s">
        <v>2608</v>
      </c>
      <c r="BK373" t="s">
        <v>96</v>
      </c>
      <c r="BL373" t="s">
        <v>2608</v>
      </c>
      <c r="BM373" t="s">
        <v>5704</v>
      </c>
      <c r="BN373" t="s">
        <v>74</v>
      </c>
      <c r="BO373" t="s">
        <v>74</v>
      </c>
      <c r="BP373" t="s">
        <v>74</v>
      </c>
      <c r="BQ373" t="s">
        <v>74</v>
      </c>
      <c r="BR373" t="s">
        <v>99</v>
      </c>
      <c r="BS373" t="s">
        <v>5705</v>
      </c>
      <c r="BT373" t="str">
        <f>HYPERLINK("https%3A%2F%2Fwww.webofscience.com%2Fwos%2Fwoscc%2Ffull-record%2FWOS:000225324900001","View Full Record in Web of Science")</f>
        <v>View Full Record in Web of Science</v>
      </c>
    </row>
    <row r="374" spans="1:72" x14ac:dyDescent="0.15">
      <c r="A374" t="s">
        <v>72</v>
      </c>
      <c r="B374" t="s">
        <v>5706</v>
      </c>
      <c r="C374" t="s">
        <v>74</v>
      </c>
      <c r="D374" t="s">
        <v>74</v>
      </c>
      <c r="E374" t="s">
        <v>74</v>
      </c>
      <c r="F374" t="s">
        <v>5706</v>
      </c>
      <c r="G374" t="s">
        <v>74</v>
      </c>
      <c r="H374" t="s">
        <v>74</v>
      </c>
      <c r="I374" t="s">
        <v>5707</v>
      </c>
      <c r="J374" t="s">
        <v>5690</v>
      </c>
      <c r="K374" t="s">
        <v>74</v>
      </c>
      <c r="L374" t="s">
        <v>74</v>
      </c>
      <c r="M374" t="s">
        <v>77</v>
      </c>
      <c r="N374" t="s">
        <v>78</v>
      </c>
      <c r="O374" t="s">
        <v>74</v>
      </c>
      <c r="P374" t="s">
        <v>74</v>
      </c>
      <c r="Q374" t="s">
        <v>74</v>
      </c>
      <c r="R374" t="s">
        <v>74</v>
      </c>
      <c r="S374" t="s">
        <v>74</v>
      </c>
      <c r="T374" t="s">
        <v>5708</v>
      </c>
      <c r="U374" t="s">
        <v>5709</v>
      </c>
      <c r="V374" t="s">
        <v>5710</v>
      </c>
      <c r="W374" t="s">
        <v>5711</v>
      </c>
      <c r="X374" t="s">
        <v>5712</v>
      </c>
      <c r="Y374" t="s">
        <v>5713</v>
      </c>
      <c r="Z374" t="s">
        <v>5714</v>
      </c>
      <c r="AA374" t="s">
        <v>5715</v>
      </c>
      <c r="AB374" t="s">
        <v>5716</v>
      </c>
      <c r="AC374" t="s">
        <v>74</v>
      </c>
      <c r="AD374" t="s">
        <v>74</v>
      </c>
      <c r="AE374" t="s">
        <v>74</v>
      </c>
      <c r="AF374" t="s">
        <v>74</v>
      </c>
      <c r="AG374">
        <v>23</v>
      </c>
      <c r="AH374">
        <v>18</v>
      </c>
      <c r="AI374">
        <v>20</v>
      </c>
      <c r="AJ374">
        <v>0</v>
      </c>
      <c r="AK374">
        <v>3</v>
      </c>
      <c r="AL374" t="s">
        <v>5698</v>
      </c>
      <c r="AM374" t="s">
        <v>5699</v>
      </c>
      <c r="AN374" t="s">
        <v>5700</v>
      </c>
      <c r="AO374" t="s">
        <v>5701</v>
      </c>
      <c r="AP374" t="s">
        <v>74</v>
      </c>
      <c r="AQ374" t="s">
        <v>74</v>
      </c>
      <c r="AR374" t="s">
        <v>5702</v>
      </c>
      <c r="AS374" t="s">
        <v>5703</v>
      </c>
      <c r="AT374" t="s">
        <v>74</v>
      </c>
      <c r="AU374">
        <v>2004</v>
      </c>
      <c r="AV374">
        <v>11</v>
      </c>
      <c r="AW374" t="s">
        <v>74</v>
      </c>
      <c r="AX374" t="s">
        <v>74</v>
      </c>
      <c r="AY374" t="s">
        <v>74</v>
      </c>
      <c r="AZ374" t="s">
        <v>74</v>
      </c>
      <c r="BA374" t="s">
        <v>74</v>
      </c>
      <c r="BB374">
        <v>21</v>
      </c>
      <c r="BC374">
        <v>32</v>
      </c>
      <c r="BD374" t="s">
        <v>74</v>
      </c>
      <c r="BE374" t="s">
        <v>74</v>
      </c>
      <c r="BF374" t="s">
        <v>74</v>
      </c>
      <c r="BG374" t="s">
        <v>74</v>
      </c>
      <c r="BH374" t="s">
        <v>74</v>
      </c>
      <c r="BI374">
        <v>12</v>
      </c>
      <c r="BJ374" t="s">
        <v>2608</v>
      </c>
      <c r="BK374" t="s">
        <v>96</v>
      </c>
      <c r="BL374" t="s">
        <v>2608</v>
      </c>
      <c r="BM374" t="s">
        <v>5704</v>
      </c>
      <c r="BN374" t="s">
        <v>74</v>
      </c>
      <c r="BO374" t="s">
        <v>74</v>
      </c>
      <c r="BP374" t="s">
        <v>74</v>
      </c>
      <c r="BQ374" t="s">
        <v>74</v>
      </c>
      <c r="BR374" t="s">
        <v>99</v>
      </c>
      <c r="BS374" t="s">
        <v>5717</v>
      </c>
      <c r="BT374" t="str">
        <f>HYPERLINK("https%3A%2F%2Fwww.webofscience.com%2Fwos%2Fwoscc%2Ffull-record%2FWOS:000225324900002","View Full Record in Web of Science")</f>
        <v>View Full Record in Web of Science</v>
      </c>
    </row>
    <row r="375" spans="1:72" x14ac:dyDescent="0.15">
      <c r="A375" t="s">
        <v>72</v>
      </c>
      <c r="B375" t="s">
        <v>5718</v>
      </c>
      <c r="C375" t="s">
        <v>74</v>
      </c>
      <c r="D375" t="s">
        <v>74</v>
      </c>
      <c r="E375" t="s">
        <v>74</v>
      </c>
      <c r="F375" t="s">
        <v>5718</v>
      </c>
      <c r="G375" t="s">
        <v>74</v>
      </c>
      <c r="H375" t="s">
        <v>74</v>
      </c>
      <c r="I375" t="s">
        <v>5719</v>
      </c>
      <c r="J375" t="s">
        <v>5690</v>
      </c>
      <c r="K375" t="s">
        <v>74</v>
      </c>
      <c r="L375" t="s">
        <v>74</v>
      </c>
      <c r="M375" t="s">
        <v>77</v>
      </c>
      <c r="N375" t="s">
        <v>78</v>
      </c>
      <c r="O375" t="s">
        <v>74</v>
      </c>
      <c r="P375" t="s">
        <v>74</v>
      </c>
      <c r="Q375" t="s">
        <v>74</v>
      </c>
      <c r="R375" t="s">
        <v>74</v>
      </c>
      <c r="S375" t="s">
        <v>74</v>
      </c>
      <c r="T375" t="s">
        <v>5720</v>
      </c>
      <c r="U375" t="s">
        <v>5721</v>
      </c>
      <c r="V375" t="s">
        <v>5722</v>
      </c>
      <c r="W375" t="s">
        <v>5723</v>
      </c>
      <c r="X375" t="s">
        <v>5724</v>
      </c>
      <c r="Y375" t="s">
        <v>5725</v>
      </c>
      <c r="Z375" t="s">
        <v>5726</v>
      </c>
      <c r="AA375" t="s">
        <v>5727</v>
      </c>
      <c r="AB375" t="s">
        <v>5728</v>
      </c>
      <c r="AC375" t="s">
        <v>74</v>
      </c>
      <c r="AD375" t="s">
        <v>74</v>
      </c>
      <c r="AE375" t="s">
        <v>74</v>
      </c>
      <c r="AF375" t="s">
        <v>74</v>
      </c>
      <c r="AG375">
        <v>30</v>
      </c>
      <c r="AH375">
        <v>9</v>
      </c>
      <c r="AI375">
        <v>9</v>
      </c>
      <c r="AJ375">
        <v>0</v>
      </c>
      <c r="AK375">
        <v>2</v>
      </c>
      <c r="AL375" t="s">
        <v>5698</v>
      </c>
      <c r="AM375" t="s">
        <v>5699</v>
      </c>
      <c r="AN375" t="s">
        <v>5700</v>
      </c>
      <c r="AO375" t="s">
        <v>5701</v>
      </c>
      <c r="AP375" t="s">
        <v>74</v>
      </c>
      <c r="AQ375" t="s">
        <v>74</v>
      </c>
      <c r="AR375" t="s">
        <v>5702</v>
      </c>
      <c r="AS375" t="s">
        <v>5703</v>
      </c>
      <c r="AT375" t="s">
        <v>74</v>
      </c>
      <c r="AU375">
        <v>2004</v>
      </c>
      <c r="AV375">
        <v>11</v>
      </c>
      <c r="AW375" t="s">
        <v>74</v>
      </c>
      <c r="AX375" t="s">
        <v>74</v>
      </c>
      <c r="AY375" t="s">
        <v>74</v>
      </c>
      <c r="AZ375" t="s">
        <v>74</v>
      </c>
      <c r="BA375" t="s">
        <v>74</v>
      </c>
      <c r="BB375">
        <v>33</v>
      </c>
      <c r="BC375">
        <v>58</v>
      </c>
      <c r="BD375" t="s">
        <v>74</v>
      </c>
      <c r="BE375" t="s">
        <v>74</v>
      </c>
      <c r="BF375" t="s">
        <v>74</v>
      </c>
      <c r="BG375" t="s">
        <v>74</v>
      </c>
      <c r="BH375" t="s">
        <v>74</v>
      </c>
      <c r="BI375">
        <v>26</v>
      </c>
      <c r="BJ375" t="s">
        <v>2608</v>
      </c>
      <c r="BK375" t="s">
        <v>96</v>
      </c>
      <c r="BL375" t="s">
        <v>2608</v>
      </c>
      <c r="BM375" t="s">
        <v>5704</v>
      </c>
      <c r="BN375" t="s">
        <v>74</v>
      </c>
      <c r="BO375" t="s">
        <v>74</v>
      </c>
      <c r="BP375" t="s">
        <v>74</v>
      </c>
      <c r="BQ375" t="s">
        <v>74</v>
      </c>
      <c r="BR375" t="s">
        <v>99</v>
      </c>
      <c r="BS375" t="s">
        <v>5729</v>
      </c>
      <c r="BT375" t="str">
        <f>HYPERLINK("https%3A%2F%2Fwww.webofscience.com%2Fwos%2Fwoscc%2Ffull-record%2FWOS:000225324900003","View Full Record in Web of Science")</f>
        <v>View Full Record in Web of Science</v>
      </c>
    </row>
    <row r="376" spans="1:72" x14ac:dyDescent="0.15">
      <c r="A376" t="s">
        <v>72</v>
      </c>
      <c r="B376" t="s">
        <v>5730</v>
      </c>
      <c r="C376" t="s">
        <v>74</v>
      </c>
      <c r="D376" t="s">
        <v>74</v>
      </c>
      <c r="E376" t="s">
        <v>74</v>
      </c>
      <c r="F376" t="s">
        <v>5730</v>
      </c>
      <c r="G376" t="s">
        <v>74</v>
      </c>
      <c r="H376" t="s">
        <v>74</v>
      </c>
      <c r="I376" t="s">
        <v>5731</v>
      </c>
      <c r="J376" t="s">
        <v>5690</v>
      </c>
      <c r="K376" t="s">
        <v>74</v>
      </c>
      <c r="L376" t="s">
        <v>74</v>
      </c>
      <c r="M376" t="s">
        <v>77</v>
      </c>
      <c r="N376" t="s">
        <v>78</v>
      </c>
      <c r="O376" t="s">
        <v>74</v>
      </c>
      <c r="P376" t="s">
        <v>74</v>
      </c>
      <c r="Q376" t="s">
        <v>74</v>
      </c>
      <c r="R376" t="s">
        <v>74</v>
      </c>
      <c r="S376" t="s">
        <v>74</v>
      </c>
      <c r="T376" t="s">
        <v>5732</v>
      </c>
      <c r="U376" t="s">
        <v>5733</v>
      </c>
      <c r="V376" t="s">
        <v>5734</v>
      </c>
      <c r="W376" t="s">
        <v>3899</v>
      </c>
      <c r="X376" t="s">
        <v>1808</v>
      </c>
      <c r="Y376" t="s">
        <v>5735</v>
      </c>
      <c r="Z376" t="s">
        <v>5736</v>
      </c>
      <c r="AA376" t="s">
        <v>74</v>
      </c>
      <c r="AB376" t="s">
        <v>74</v>
      </c>
      <c r="AC376" t="s">
        <v>74</v>
      </c>
      <c r="AD376" t="s">
        <v>74</v>
      </c>
      <c r="AE376" t="s">
        <v>74</v>
      </c>
      <c r="AF376" t="s">
        <v>74</v>
      </c>
      <c r="AG376">
        <v>19</v>
      </c>
      <c r="AH376">
        <v>75</v>
      </c>
      <c r="AI376">
        <v>84</v>
      </c>
      <c r="AJ376">
        <v>1</v>
      </c>
      <c r="AK376">
        <v>17</v>
      </c>
      <c r="AL376" t="s">
        <v>5698</v>
      </c>
      <c r="AM376" t="s">
        <v>5699</v>
      </c>
      <c r="AN376" t="s">
        <v>5700</v>
      </c>
      <c r="AO376" t="s">
        <v>5701</v>
      </c>
      <c r="AP376" t="s">
        <v>74</v>
      </c>
      <c r="AQ376" t="s">
        <v>74</v>
      </c>
      <c r="AR376" t="s">
        <v>5702</v>
      </c>
      <c r="AS376" t="s">
        <v>5703</v>
      </c>
      <c r="AT376" t="s">
        <v>74</v>
      </c>
      <c r="AU376">
        <v>2004</v>
      </c>
      <c r="AV376">
        <v>11</v>
      </c>
      <c r="AW376" t="s">
        <v>74</v>
      </c>
      <c r="AX376" t="s">
        <v>74</v>
      </c>
      <c r="AY376" t="s">
        <v>74</v>
      </c>
      <c r="AZ376" t="s">
        <v>74</v>
      </c>
      <c r="BA376" t="s">
        <v>74</v>
      </c>
      <c r="BB376">
        <v>59</v>
      </c>
      <c r="BC376">
        <v>80</v>
      </c>
      <c r="BD376" t="s">
        <v>74</v>
      </c>
      <c r="BE376" t="s">
        <v>74</v>
      </c>
      <c r="BF376" t="s">
        <v>74</v>
      </c>
      <c r="BG376" t="s">
        <v>74</v>
      </c>
      <c r="BH376" t="s">
        <v>74</v>
      </c>
      <c r="BI376">
        <v>22</v>
      </c>
      <c r="BJ376" t="s">
        <v>2608</v>
      </c>
      <c r="BK376" t="s">
        <v>96</v>
      </c>
      <c r="BL376" t="s">
        <v>2608</v>
      </c>
      <c r="BM376" t="s">
        <v>5704</v>
      </c>
      <c r="BN376" t="s">
        <v>74</v>
      </c>
      <c r="BO376" t="s">
        <v>74</v>
      </c>
      <c r="BP376" t="s">
        <v>74</v>
      </c>
      <c r="BQ376" t="s">
        <v>74</v>
      </c>
      <c r="BR376" t="s">
        <v>99</v>
      </c>
      <c r="BS376" t="s">
        <v>5737</v>
      </c>
      <c r="BT376" t="str">
        <f>HYPERLINK("https%3A%2F%2Fwww.webofscience.com%2Fwos%2Fwoscc%2Ffull-record%2FWOS:000225324900004","View Full Record in Web of Science")</f>
        <v>View Full Record in Web of Science</v>
      </c>
    </row>
    <row r="377" spans="1:72" x14ac:dyDescent="0.15">
      <c r="A377" t="s">
        <v>72</v>
      </c>
      <c r="B377" t="s">
        <v>5738</v>
      </c>
      <c r="C377" t="s">
        <v>74</v>
      </c>
      <c r="D377" t="s">
        <v>74</v>
      </c>
      <c r="E377" t="s">
        <v>74</v>
      </c>
      <c r="F377" t="s">
        <v>5738</v>
      </c>
      <c r="G377" t="s">
        <v>74</v>
      </c>
      <c r="H377" t="s">
        <v>74</v>
      </c>
      <c r="I377" t="s">
        <v>5739</v>
      </c>
      <c r="J377" t="s">
        <v>5690</v>
      </c>
      <c r="K377" t="s">
        <v>74</v>
      </c>
      <c r="L377" t="s">
        <v>74</v>
      </c>
      <c r="M377" t="s">
        <v>77</v>
      </c>
      <c r="N377" t="s">
        <v>78</v>
      </c>
      <c r="O377" t="s">
        <v>74</v>
      </c>
      <c r="P377" t="s">
        <v>74</v>
      </c>
      <c r="Q377" t="s">
        <v>74</v>
      </c>
      <c r="R377" t="s">
        <v>74</v>
      </c>
      <c r="S377" t="s">
        <v>74</v>
      </c>
      <c r="T377" t="s">
        <v>5740</v>
      </c>
      <c r="U377" t="s">
        <v>5741</v>
      </c>
      <c r="V377" t="s">
        <v>5742</v>
      </c>
      <c r="W377" t="s">
        <v>5743</v>
      </c>
      <c r="X377" t="s">
        <v>5744</v>
      </c>
      <c r="Y377" t="s">
        <v>5745</v>
      </c>
      <c r="Z377" t="s">
        <v>5746</v>
      </c>
      <c r="AA377" t="s">
        <v>74</v>
      </c>
      <c r="AB377" t="s">
        <v>74</v>
      </c>
      <c r="AC377" t="s">
        <v>74</v>
      </c>
      <c r="AD377" t="s">
        <v>74</v>
      </c>
      <c r="AE377" t="s">
        <v>74</v>
      </c>
      <c r="AF377" t="s">
        <v>74</v>
      </c>
      <c r="AG377">
        <v>26</v>
      </c>
      <c r="AH377">
        <v>76</v>
      </c>
      <c r="AI377">
        <v>83</v>
      </c>
      <c r="AJ377">
        <v>0</v>
      </c>
      <c r="AK377">
        <v>12</v>
      </c>
      <c r="AL377" t="s">
        <v>5698</v>
      </c>
      <c r="AM377" t="s">
        <v>5699</v>
      </c>
      <c r="AN377" t="s">
        <v>5700</v>
      </c>
      <c r="AO377" t="s">
        <v>5701</v>
      </c>
      <c r="AP377" t="s">
        <v>74</v>
      </c>
      <c r="AQ377" t="s">
        <v>74</v>
      </c>
      <c r="AR377" t="s">
        <v>5702</v>
      </c>
      <c r="AS377" t="s">
        <v>5703</v>
      </c>
      <c r="AT377" t="s">
        <v>74</v>
      </c>
      <c r="AU377">
        <v>2004</v>
      </c>
      <c r="AV377">
        <v>11</v>
      </c>
      <c r="AW377" t="s">
        <v>74</v>
      </c>
      <c r="AX377" t="s">
        <v>74</v>
      </c>
      <c r="AY377" t="s">
        <v>74</v>
      </c>
      <c r="AZ377" t="s">
        <v>74</v>
      </c>
      <c r="BA377" t="s">
        <v>74</v>
      </c>
      <c r="BB377">
        <v>81</v>
      </c>
      <c r="BC377">
        <v>97</v>
      </c>
      <c r="BD377" t="s">
        <v>74</v>
      </c>
      <c r="BE377" t="s">
        <v>74</v>
      </c>
      <c r="BF377" t="s">
        <v>74</v>
      </c>
      <c r="BG377" t="s">
        <v>74</v>
      </c>
      <c r="BH377" t="s">
        <v>74</v>
      </c>
      <c r="BI377">
        <v>17</v>
      </c>
      <c r="BJ377" t="s">
        <v>2608</v>
      </c>
      <c r="BK377" t="s">
        <v>96</v>
      </c>
      <c r="BL377" t="s">
        <v>2608</v>
      </c>
      <c r="BM377" t="s">
        <v>5704</v>
      </c>
      <c r="BN377" t="s">
        <v>74</v>
      </c>
      <c r="BO377" t="s">
        <v>74</v>
      </c>
      <c r="BP377" t="s">
        <v>74</v>
      </c>
      <c r="BQ377" t="s">
        <v>74</v>
      </c>
      <c r="BR377" t="s">
        <v>99</v>
      </c>
      <c r="BS377" t="s">
        <v>5747</v>
      </c>
      <c r="BT377" t="str">
        <f>HYPERLINK("https%3A%2F%2Fwww.webofscience.com%2Fwos%2Fwoscc%2Ffull-record%2FWOS:000225324900005","View Full Record in Web of Science")</f>
        <v>View Full Record in Web of Science</v>
      </c>
    </row>
    <row r="378" spans="1:72" x14ac:dyDescent="0.15">
      <c r="A378" t="s">
        <v>72</v>
      </c>
      <c r="B378" t="s">
        <v>5748</v>
      </c>
      <c r="C378" t="s">
        <v>74</v>
      </c>
      <c r="D378" t="s">
        <v>74</v>
      </c>
      <c r="E378" t="s">
        <v>74</v>
      </c>
      <c r="F378" t="s">
        <v>5748</v>
      </c>
      <c r="G378" t="s">
        <v>74</v>
      </c>
      <c r="H378" t="s">
        <v>74</v>
      </c>
      <c r="I378" t="s">
        <v>5749</v>
      </c>
      <c r="J378" t="s">
        <v>5690</v>
      </c>
      <c r="K378" t="s">
        <v>74</v>
      </c>
      <c r="L378" t="s">
        <v>74</v>
      </c>
      <c r="M378" t="s">
        <v>77</v>
      </c>
      <c r="N378" t="s">
        <v>78</v>
      </c>
      <c r="O378" t="s">
        <v>74</v>
      </c>
      <c r="P378" t="s">
        <v>74</v>
      </c>
      <c r="Q378" t="s">
        <v>74</v>
      </c>
      <c r="R378" t="s">
        <v>74</v>
      </c>
      <c r="S378" t="s">
        <v>74</v>
      </c>
      <c r="T378" t="s">
        <v>5750</v>
      </c>
      <c r="U378" t="s">
        <v>5751</v>
      </c>
      <c r="V378" t="s">
        <v>5752</v>
      </c>
      <c r="W378" t="s">
        <v>5753</v>
      </c>
      <c r="X378" t="s">
        <v>5754</v>
      </c>
      <c r="Y378" t="s">
        <v>5755</v>
      </c>
      <c r="Z378" t="s">
        <v>5697</v>
      </c>
      <c r="AA378" t="s">
        <v>74</v>
      </c>
      <c r="AB378" t="s">
        <v>74</v>
      </c>
      <c r="AC378" t="s">
        <v>74</v>
      </c>
      <c r="AD378" t="s">
        <v>74</v>
      </c>
      <c r="AE378" t="s">
        <v>74</v>
      </c>
      <c r="AF378" t="s">
        <v>74</v>
      </c>
      <c r="AG378">
        <v>57</v>
      </c>
      <c r="AH378">
        <v>14</v>
      </c>
      <c r="AI378">
        <v>16</v>
      </c>
      <c r="AJ378">
        <v>0</v>
      </c>
      <c r="AK378">
        <v>1</v>
      </c>
      <c r="AL378" t="s">
        <v>5698</v>
      </c>
      <c r="AM378" t="s">
        <v>5699</v>
      </c>
      <c r="AN378" t="s">
        <v>5700</v>
      </c>
      <c r="AO378" t="s">
        <v>5701</v>
      </c>
      <c r="AP378" t="s">
        <v>74</v>
      </c>
      <c r="AQ378" t="s">
        <v>74</v>
      </c>
      <c r="AR378" t="s">
        <v>5702</v>
      </c>
      <c r="AS378" t="s">
        <v>5703</v>
      </c>
      <c r="AT378" t="s">
        <v>74</v>
      </c>
      <c r="AU378">
        <v>2004</v>
      </c>
      <c r="AV378">
        <v>11</v>
      </c>
      <c r="AW378" t="s">
        <v>74</v>
      </c>
      <c r="AX378" t="s">
        <v>74</v>
      </c>
      <c r="AY378" t="s">
        <v>74</v>
      </c>
      <c r="AZ378" t="s">
        <v>74</v>
      </c>
      <c r="BA378" t="s">
        <v>74</v>
      </c>
      <c r="BB378">
        <v>141</v>
      </c>
      <c r="BC378">
        <v>153</v>
      </c>
      <c r="BD378" t="s">
        <v>74</v>
      </c>
      <c r="BE378" t="s">
        <v>74</v>
      </c>
      <c r="BF378" t="s">
        <v>74</v>
      </c>
      <c r="BG378" t="s">
        <v>74</v>
      </c>
      <c r="BH378" t="s">
        <v>74</v>
      </c>
      <c r="BI378">
        <v>13</v>
      </c>
      <c r="BJ378" t="s">
        <v>2608</v>
      </c>
      <c r="BK378" t="s">
        <v>96</v>
      </c>
      <c r="BL378" t="s">
        <v>2608</v>
      </c>
      <c r="BM378" t="s">
        <v>5704</v>
      </c>
      <c r="BN378" t="s">
        <v>74</v>
      </c>
      <c r="BO378" t="s">
        <v>74</v>
      </c>
      <c r="BP378" t="s">
        <v>74</v>
      </c>
      <c r="BQ378" t="s">
        <v>74</v>
      </c>
      <c r="BR378" t="s">
        <v>99</v>
      </c>
      <c r="BS378" t="s">
        <v>5756</v>
      </c>
      <c r="BT378" t="str">
        <f>HYPERLINK("https%3A%2F%2Fwww.webofscience.com%2Fwos%2Fwoscc%2Ffull-record%2FWOS:000225324900009","View Full Record in Web of Science")</f>
        <v>View Full Record in Web of Science</v>
      </c>
    </row>
    <row r="379" spans="1:72" x14ac:dyDescent="0.15">
      <c r="A379" t="s">
        <v>72</v>
      </c>
      <c r="B379" t="s">
        <v>5757</v>
      </c>
      <c r="C379" t="s">
        <v>74</v>
      </c>
      <c r="D379" t="s">
        <v>74</v>
      </c>
      <c r="E379" t="s">
        <v>74</v>
      </c>
      <c r="F379" t="s">
        <v>5757</v>
      </c>
      <c r="G379" t="s">
        <v>74</v>
      </c>
      <c r="H379" t="s">
        <v>74</v>
      </c>
      <c r="I379" t="s">
        <v>5758</v>
      </c>
      <c r="J379" t="s">
        <v>5690</v>
      </c>
      <c r="K379" t="s">
        <v>74</v>
      </c>
      <c r="L379" t="s">
        <v>74</v>
      </c>
      <c r="M379" t="s">
        <v>77</v>
      </c>
      <c r="N379" t="s">
        <v>78</v>
      </c>
      <c r="O379" t="s">
        <v>74</v>
      </c>
      <c r="P379" t="s">
        <v>74</v>
      </c>
      <c r="Q379" t="s">
        <v>74</v>
      </c>
      <c r="R379" t="s">
        <v>74</v>
      </c>
      <c r="S379" t="s">
        <v>74</v>
      </c>
      <c r="T379" t="s">
        <v>5759</v>
      </c>
      <c r="U379" t="s">
        <v>74</v>
      </c>
      <c r="V379" t="s">
        <v>5760</v>
      </c>
      <c r="W379" t="s">
        <v>5761</v>
      </c>
      <c r="X379" t="s">
        <v>5762</v>
      </c>
      <c r="Y379" t="s">
        <v>5763</v>
      </c>
      <c r="Z379" t="s">
        <v>5764</v>
      </c>
      <c r="AA379" t="s">
        <v>74</v>
      </c>
      <c r="AB379" t="s">
        <v>74</v>
      </c>
      <c r="AC379" t="s">
        <v>74</v>
      </c>
      <c r="AD379" t="s">
        <v>74</v>
      </c>
      <c r="AE379" t="s">
        <v>74</v>
      </c>
      <c r="AF379" t="s">
        <v>74</v>
      </c>
      <c r="AG379">
        <v>20</v>
      </c>
      <c r="AH379">
        <v>4</v>
      </c>
      <c r="AI379">
        <v>7</v>
      </c>
      <c r="AJ379">
        <v>0</v>
      </c>
      <c r="AK379">
        <v>1</v>
      </c>
      <c r="AL379" t="s">
        <v>5698</v>
      </c>
      <c r="AM379" t="s">
        <v>5699</v>
      </c>
      <c r="AN379" t="s">
        <v>5700</v>
      </c>
      <c r="AO379" t="s">
        <v>5701</v>
      </c>
      <c r="AP379" t="s">
        <v>74</v>
      </c>
      <c r="AQ379" t="s">
        <v>74</v>
      </c>
      <c r="AR379" t="s">
        <v>5702</v>
      </c>
      <c r="AS379" t="s">
        <v>5703</v>
      </c>
      <c r="AT379" t="s">
        <v>74</v>
      </c>
      <c r="AU379">
        <v>2004</v>
      </c>
      <c r="AV379">
        <v>11</v>
      </c>
      <c r="AW379" t="s">
        <v>74</v>
      </c>
      <c r="AX379" t="s">
        <v>74</v>
      </c>
      <c r="AY379" t="s">
        <v>74</v>
      </c>
      <c r="AZ379" t="s">
        <v>74</v>
      </c>
      <c r="BA379" t="s">
        <v>74</v>
      </c>
      <c r="BB379">
        <v>165</v>
      </c>
      <c r="BC379">
        <v>177</v>
      </c>
      <c r="BD379" t="s">
        <v>74</v>
      </c>
      <c r="BE379" t="s">
        <v>74</v>
      </c>
      <c r="BF379" t="s">
        <v>74</v>
      </c>
      <c r="BG379" t="s">
        <v>74</v>
      </c>
      <c r="BH379" t="s">
        <v>74</v>
      </c>
      <c r="BI379">
        <v>13</v>
      </c>
      <c r="BJ379" t="s">
        <v>2608</v>
      </c>
      <c r="BK379" t="s">
        <v>96</v>
      </c>
      <c r="BL379" t="s">
        <v>2608</v>
      </c>
      <c r="BM379" t="s">
        <v>5704</v>
      </c>
      <c r="BN379" t="s">
        <v>74</v>
      </c>
      <c r="BO379" t="s">
        <v>74</v>
      </c>
      <c r="BP379" t="s">
        <v>74</v>
      </c>
      <c r="BQ379" t="s">
        <v>74</v>
      </c>
      <c r="BR379" t="s">
        <v>99</v>
      </c>
      <c r="BS379" t="s">
        <v>5765</v>
      </c>
      <c r="BT379" t="str">
        <f>HYPERLINK("https%3A%2F%2Fwww.webofscience.com%2Fwos%2Fwoscc%2Ffull-record%2FWOS:000225324900011","View Full Record in Web of Science")</f>
        <v>View Full Record in Web of Science</v>
      </c>
    </row>
    <row r="380" spans="1:72" x14ac:dyDescent="0.15">
      <c r="A380" t="s">
        <v>72</v>
      </c>
      <c r="B380" t="s">
        <v>5766</v>
      </c>
      <c r="C380" t="s">
        <v>74</v>
      </c>
      <c r="D380" t="s">
        <v>74</v>
      </c>
      <c r="E380" t="s">
        <v>74</v>
      </c>
      <c r="F380" t="s">
        <v>5766</v>
      </c>
      <c r="G380" t="s">
        <v>74</v>
      </c>
      <c r="H380" t="s">
        <v>74</v>
      </c>
      <c r="I380" t="s">
        <v>5767</v>
      </c>
      <c r="J380" t="s">
        <v>5690</v>
      </c>
      <c r="K380" t="s">
        <v>74</v>
      </c>
      <c r="L380" t="s">
        <v>74</v>
      </c>
      <c r="M380" t="s">
        <v>77</v>
      </c>
      <c r="N380" t="s">
        <v>78</v>
      </c>
      <c r="O380" t="s">
        <v>74</v>
      </c>
      <c r="P380" t="s">
        <v>74</v>
      </c>
      <c r="Q380" t="s">
        <v>74</v>
      </c>
      <c r="R380" t="s">
        <v>74</v>
      </c>
      <c r="S380" t="s">
        <v>74</v>
      </c>
      <c r="T380" t="s">
        <v>5768</v>
      </c>
      <c r="U380" t="s">
        <v>74</v>
      </c>
      <c r="V380" t="s">
        <v>5769</v>
      </c>
      <c r="W380" t="s">
        <v>3899</v>
      </c>
      <c r="X380" t="s">
        <v>1808</v>
      </c>
      <c r="Y380" t="s">
        <v>5770</v>
      </c>
      <c r="Z380" t="s">
        <v>5771</v>
      </c>
      <c r="AA380" t="s">
        <v>74</v>
      </c>
      <c r="AB380" t="s">
        <v>74</v>
      </c>
      <c r="AC380" t="s">
        <v>74</v>
      </c>
      <c r="AD380" t="s">
        <v>74</v>
      </c>
      <c r="AE380" t="s">
        <v>74</v>
      </c>
      <c r="AF380" t="s">
        <v>74</v>
      </c>
      <c r="AG380">
        <v>3</v>
      </c>
      <c r="AH380">
        <v>3</v>
      </c>
      <c r="AI380">
        <v>3</v>
      </c>
      <c r="AJ380">
        <v>0</v>
      </c>
      <c r="AK380">
        <v>3</v>
      </c>
      <c r="AL380" t="s">
        <v>5698</v>
      </c>
      <c r="AM380" t="s">
        <v>5699</v>
      </c>
      <c r="AN380" t="s">
        <v>5700</v>
      </c>
      <c r="AO380" t="s">
        <v>5701</v>
      </c>
      <c r="AP380" t="s">
        <v>74</v>
      </c>
      <c r="AQ380" t="s">
        <v>74</v>
      </c>
      <c r="AR380" t="s">
        <v>5702</v>
      </c>
      <c r="AS380" t="s">
        <v>5703</v>
      </c>
      <c r="AT380" t="s">
        <v>74</v>
      </c>
      <c r="AU380">
        <v>2004</v>
      </c>
      <c r="AV380">
        <v>11</v>
      </c>
      <c r="AW380" t="s">
        <v>74</v>
      </c>
      <c r="AX380" t="s">
        <v>74</v>
      </c>
      <c r="AY380" t="s">
        <v>74</v>
      </c>
      <c r="AZ380" t="s">
        <v>74</v>
      </c>
      <c r="BA380" t="s">
        <v>74</v>
      </c>
      <c r="BB380">
        <v>179</v>
      </c>
      <c r="BC380">
        <v>187</v>
      </c>
      <c r="BD380" t="s">
        <v>74</v>
      </c>
      <c r="BE380" t="s">
        <v>74</v>
      </c>
      <c r="BF380" t="s">
        <v>74</v>
      </c>
      <c r="BG380" t="s">
        <v>74</v>
      </c>
      <c r="BH380" t="s">
        <v>74</v>
      </c>
      <c r="BI380">
        <v>9</v>
      </c>
      <c r="BJ380" t="s">
        <v>2608</v>
      </c>
      <c r="BK380" t="s">
        <v>96</v>
      </c>
      <c r="BL380" t="s">
        <v>2608</v>
      </c>
      <c r="BM380" t="s">
        <v>5704</v>
      </c>
      <c r="BN380" t="s">
        <v>74</v>
      </c>
      <c r="BO380" t="s">
        <v>74</v>
      </c>
      <c r="BP380" t="s">
        <v>74</v>
      </c>
      <c r="BQ380" t="s">
        <v>74</v>
      </c>
      <c r="BR380" t="s">
        <v>99</v>
      </c>
      <c r="BS380" t="s">
        <v>5772</v>
      </c>
      <c r="BT380" t="str">
        <f>HYPERLINK("https%3A%2F%2Fwww.webofscience.com%2Fwos%2Fwoscc%2Ffull-record%2FWOS:000225324900012","View Full Record in Web of Science")</f>
        <v>View Full Record in Web of Science</v>
      </c>
    </row>
    <row r="381" spans="1:72" x14ac:dyDescent="0.15">
      <c r="A381" t="s">
        <v>72</v>
      </c>
      <c r="B381" t="s">
        <v>5773</v>
      </c>
      <c r="C381" t="s">
        <v>74</v>
      </c>
      <c r="D381" t="s">
        <v>74</v>
      </c>
      <c r="E381" t="s">
        <v>74</v>
      </c>
      <c r="F381" t="s">
        <v>5773</v>
      </c>
      <c r="G381" t="s">
        <v>74</v>
      </c>
      <c r="H381" t="s">
        <v>74</v>
      </c>
      <c r="I381" t="s">
        <v>5774</v>
      </c>
      <c r="J381" t="s">
        <v>5690</v>
      </c>
      <c r="K381" t="s">
        <v>74</v>
      </c>
      <c r="L381" t="s">
        <v>74</v>
      </c>
      <c r="M381" t="s">
        <v>77</v>
      </c>
      <c r="N381" t="s">
        <v>268</v>
      </c>
      <c r="O381" t="s">
        <v>74</v>
      </c>
      <c r="P381" t="s">
        <v>74</v>
      </c>
      <c r="Q381" t="s">
        <v>74</v>
      </c>
      <c r="R381" t="s">
        <v>74</v>
      </c>
      <c r="S381" t="s">
        <v>74</v>
      </c>
      <c r="T381" t="s">
        <v>5775</v>
      </c>
      <c r="U381" t="s">
        <v>5776</v>
      </c>
      <c r="V381" t="s">
        <v>5777</v>
      </c>
      <c r="W381" t="s">
        <v>5778</v>
      </c>
      <c r="X381" t="s">
        <v>5779</v>
      </c>
      <c r="Y381" t="s">
        <v>5780</v>
      </c>
      <c r="Z381" t="s">
        <v>5781</v>
      </c>
      <c r="AA381" t="s">
        <v>74</v>
      </c>
      <c r="AB381" t="s">
        <v>74</v>
      </c>
      <c r="AC381" t="s">
        <v>74</v>
      </c>
      <c r="AD381" t="s">
        <v>74</v>
      </c>
      <c r="AE381" t="s">
        <v>74</v>
      </c>
      <c r="AF381" t="s">
        <v>74</v>
      </c>
      <c r="AG381">
        <v>30</v>
      </c>
      <c r="AH381">
        <v>28</v>
      </c>
      <c r="AI381">
        <v>31</v>
      </c>
      <c r="AJ381">
        <v>0</v>
      </c>
      <c r="AK381">
        <v>6</v>
      </c>
      <c r="AL381" t="s">
        <v>5698</v>
      </c>
      <c r="AM381" t="s">
        <v>5699</v>
      </c>
      <c r="AN381" t="s">
        <v>5700</v>
      </c>
      <c r="AO381" t="s">
        <v>5701</v>
      </c>
      <c r="AP381" t="s">
        <v>74</v>
      </c>
      <c r="AQ381" t="s">
        <v>74</v>
      </c>
      <c r="AR381" t="s">
        <v>5702</v>
      </c>
      <c r="AS381" t="s">
        <v>5703</v>
      </c>
      <c r="AT381" t="s">
        <v>74</v>
      </c>
      <c r="AU381">
        <v>2004</v>
      </c>
      <c r="AV381">
        <v>11</v>
      </c>
      <c r="AW381" t="s">
        <v>74</v>
      </c>
      <c r="AX381" t="s">
        <v>74</v>
      </c>
      <c r="AY381" t="s">
        <v>74</v>
      </c>
      <c r="AZ381" t="s">
        <v>74</v>
      </c>
      <c r="BA381" t="s">
        <v>74</v>
      </c>
      <c r="BB381">
        <v>189</v>
      </c>
      <c r="BC381">
        <v>201</v>
      </c>
      <c r="BD381" t="s">
        <v>74</v>
      </c>
      <c r="BE381" t="s">
        <v>74</v>
      </c>
      <c r="BF381" t="s">
        <v>74</v>
      </c>
      <c r="BG381" t="s">
        <v>74</v>
      </c>
      <c r="BH381" t="s">
        <v>74</v>
      </c>
      <c r="BI381">
        <v>13</v>
      </c>
      <c r="BJ381" t="s">
        <v>2608</v>
      </c>
      <c r="BK381" t="s">
        <v>96</v>
      </c>
      <c r="BL381" t="s">
        <v>2608</v>
      </c>
      <c r="BM381" t="s">
        <v>5704</v>
      </c>
      <c r="BN381" t="s">
        <v>74</v>
      </c>
      <c r="BO381" t="s">
        <v>74</v>
      </c>
      <c r="BP381" t="s">
        <v>74</v>
      </c>
      <c r="BQ381" t="s">
        <v>74</v>
      </c>
      <c r="BR381" t="s">
        <v>99</v>
      </c>
      <c r="BS381" t="s">
        <v>5782</v>
      </c>
      <c r="BT381" t="str">
        <f>HYPERLINK("https%3A%2F%2Fwww.webofscience.com%2Fwos%2Fwoscc%2Ffull-record%2FWOS:000225324900013","View Full Record in Web of Science")</f>
        <v>View Full Record in Web of Science</v>
      </c>
    </row>
    <row r="382" spans="1:72" x14ac:dyDescent="0.15">
      <c r="A382" t="s">
        <v>72</v>
      </c>
      <c r="B382" t="s">
        <v>5783</v>
      </c>
      <c r="C382" t="s">
        <v>74</v>
      </c>
      <c r="D382" t="s">
        <v>74</v>
      </c>
      <c r="E382" t="s">
        <v>74</v>
      </c>
      <c r="F382" t="s">
        <v>5784</v>
      </c>
      <c r="G382" t="s">
        <v>74</v>
      </c>
      <c r="H382" t="s">
        <v>74</v>
      </c>
      <c r="I382" t="s">
        <v>5785</v>
      </c>
      <c r="J382" t="s">
        <v>5786</v>
      </c>
      <c r="K382" t="s">
        <v>74</v>
      </c>
      <c r="L382" t="s">
        <v>74</v>
      </c>
      <c r="M382" t="s">
        <v>77</v>
      </c>
      <c r="N382" t="s">
        <v>78</v>
      </c>
      <c r="O382" t="s">
        <v>74</v>
      </c>
      <c r="P382" t="s">
        <v>74</v>
      </c>
      <c r="Q382" t="s">
        <v>74</v>
      </c>
      <c r="R382" t="s">
        <v>74</v>
      </c>
      <c r="S382" t="s">
        <v>74</v>
      </c>
      <c r="T382" t="s">
        <v>5787</v>
      </c>
      <c r="U382" t="s">
        <v>5788</v>
      </c>
      <c r="V382" t="s">
        <v>5789</v>
      </c>
      <c r="W382" t="s">
        <v>5790</v>
      </c>
      <c r="X382" t="s">
        <v>5791</v>
      </c>
      <c r="Y382" t="s">
        <v>5792</v>
      </c>
      <c r="Z382" t="s">
        <v>5793</v>
      </c>
      <c r="AA382" t="s">
        <v>5794</v>
      </c>
      <c r="AB382" t="s">
        <v>5795</v>
      </c>
      <c r="AC382" t="s">
        <v>74</v>
      </c>
      <c r="AD382" t="s">
        <v>74</v>
      </c>
      <c r="AE382" t="s">
        <v>74</v>
      </c>
      <c r="AF382" t="s">
        <v>74</v>
      </c>
      <c r="AG382">
        <v>42</v>
      </c>
      <c r="AH382">
        <v>4</v>
      </c>
      <c r="AI382">
        <v>5</v>
      </c>
      <c r="AJ382">
        <v>0</v>
      </c>
      <c r="AK382">
        <v>6</v>
      </c>
      <c r="AL382" t="s">
        <v>2642</v>
      </c>
      <c r="AM382" t="s">
        <v>2643</v>
      </c>
      <c r="AN382" t="s">
        <v>2644</v>
      </c>
      <c r="AO382" t="s">
        <v>5796</v>
      </c>
      <c r="AP382" t="s">
        <v>5797</v>
      </c>
      <c r="AQ382" t="s">
        <v>74</v>
      </c>
      <c r="AR382" t="s">
        <v>5798</v>
      </c>
      <c r="AS382" t="s">
        <v>5799</v>
      </c>
      <c r="AT382" t="s">
        <v>74</v>
      </c>
      <c r="AU382">
        <v>2004</v>
      </c>
      <c r="AV382">
        <v>20</v>
      </c>
      <c r="AW382" t="s">
        <v>74</v>
      </c>
      <c r="AX382" t="s">
        <v>74</v>
      </c>
      <c r="AY382">
        <v>1</v>
      </c>
      <c r="AZ382" t="s">
        <v>74</v>
      </c>
      <c r="BA382" t="s">
        <v>74</v>
      </c>
      <c r="BB382" t="s">
        <v>5800</v>
      </c>
      <c r="BC382" t="s">
        <v>2508</v>
      </c>
      <c r="BD382" t="s">
        <v>74</v>
      </c>
      <c r="BE382" t="s">
        <v>5801</v>
      </c>
      <c r="BF382" t="str">
        <f>HYPERLINK("http://dx.doi.org/10.1080/02757540410001664620","http://dx.doi.org/10.1080/02757540410001664620")</f>
        <v>http://dx.doi.org/10.1080/02757540410001664620</v>
      </c>
      <c r="BG382" t="s">
        <v>74</v>
      </c>
      <c r="BH382" t="s">
        <v>74</v>
      </c>
      <c r="BI382">
        <v>12</v>
      </c>
      <c r="BJ382" t="s">
        <v>5802</v>
      </c>
      <c r="BK382" t="s">
        <v>96</v>
      </c>
      <c r="BL382" t="s">
        <v>5803</v>
      </c>
      <c r="BM382" t="s">
        <v>5804</v>
      </c>
      <c r="BN382" t="s">
        <v>74</v>
      </c>
      <c r="BO382" t="s">
        <v>74</v>
      </c>
      <c r="BP382" t="s">
        <v>74</v>
      </c>
      <c r="BQ382" t="s">
        <v>74</v>
      </c>
      <c r="BR382" t="s">
        <v>99</v>
      </c>
      <c r="BS382" t="s">
        <v>5805</v>
      </c>
      <c r="BT382" t="str">
        <f>HYPERLINK("https%3A%2F%2Fwww.webofscience.com%2Fwos%2Fwoscc%2Ffull-record%2FWOS:000208520200003","View Full Record in Web of Science")</f>
        <v>View Full Record in Web of Science</v>
      </c>
    </row>
    <row r="383" spans="1:72" x14ac:dyDescent="0.15">
      <c r="A383" t="s">
        <v>72</v>
      </c>
      <c r="B383" t="s">
        <v>5806</v>
      </c>
      <c r="C383" t="s">
        <v>74</v>
      </c>
      <c r="D383" t="s">
        <v>74</v>
      </c>
      <c r="E383" t="s">
        <v>74</v>
      </c>
      <c r="F383" t="s">
        <v>5807</v>
      </c>
      <c r="G383" t="s">
        <v>74</v>
      </c>
      <c r="H383" t="s">
        <v>74</v>
      </c>
      <c r="I383" t="s">
        <v>5808</v>
      </c>
      <c r="J383" t="s">
        <v>5786</v>
      </c>
      <c r="K383" t="s">
        <v>74</v>
      </c>
      <c r="L383" t="s">
        <v>74</v>
      </c>
      <c r="M383" t="s">
        <v>77</v>
      </c>
      <c r="N383" t="s">
        <v>78</v>
      </c>
      <c r="O383" t="s">
        <v>74</v>
      </c>
      <c r="P383" t="s">
        <v>74</v>
      </c>
      <c r="Q383" t="s">
        <v>74</v>
      </c>
      <c r="R383" t="s">
        <v>74</v>
      </c>
      <c r="S383" t="s">
        <v>74</v>
      </c>
      <c r="T383" t="s">
        <v>5809</v>
      </c>
      <c r="U383" t="s">
        <v>5810</v>
      </c>
      <c r="V383" t="s">
        <v>5811</v>
      </c>
      <c r="W383" t="s">
        <v>5812</v>
      </c>
      <c r="X383" t="s">
        <v>5813</v>
      </c>
      <c r="Y383" t="s">
        <v>5814</v>
      </c>
      <c r="Z383" t="s">
        <v>5815</v>
      </c>
      <c r="AA383" t="s">
        <v>5816</v>
      </c>
      <c r="AB383" t="s">
        <v>5817</v>
      </c>
      <c r="AC383" t="s">
        <v>5818</v>
      </c>
      <c r="AD383" t="s">
        <v>5818</v>
      </c>
      <c r="AE383" t="s">
        <v>5819</v>
      </c>
      <c r="AF383" t="s">
        <v>74</v>
      </c>
      <c r="AG383">
        <v>15</v>
      </c>
      <c r="AH383">
        <v>20</v>
      </c>
      <c r="AI383">
        <v>21</v>
      </c>
      <c r="AJ383">
        <v>1</v>
      </c>
      <c r="AK383">
        <v>5</v>
      </c>
      <c r="AL383" t="s">
        <v>2642</v>
      </c>
      <c r="AM383" t="s">
        <v>2643</v>
      </c>
      <c r="AN383" t="s">
        <v>2644</v>
      </c>
      <c r="AO383" t="s">
        <v>5796</v>
      </c>
      <c r="AP383" t="s">
        <v>5797</v>
      </c>
      <c r="AQ383" t="s">
        <v>74</v>
      </c>
      <c r="AR383" t="s">
        <v>5798</v>
      </c>
      <c r="AS383" t="s">
        <v>5799</v>
      </c>
      <c r="AT383" t="s">
        <v>74</v>
      </c>
      <c r="AU383">
        <v>2004</v>
      </c>
      <c r="AV383">
        <v>20</v>
      </c>
      <c r="AW383" t="s">
        <v>74</v>
      </c>
      <c r="AX383" t="s">
        <v>74</v>
      </c>
      <c r="AY383">
        <v>1</v>
      </c>
      <c r="AZ383" t="s">
        <v>74</v>
      </c>
      <c r="BA383" t="s">
        <v>74</v>
      </c>
      <c r="BB383" t="s">
        <v>5820</v>
      </c>
      <c r="BC383" t="s">
        <v>5821</v>
      </c>
      <c r="BD383" t="s">
        <v>74</v>
      </c>
      <c r="BE383" t="s">
        <v>5822</v>
      </c>
      <c r="BF383" t="str">
        <f>HYPERLINK("http://dx.doi.org/10.1080/02757540310001629198","http://dx.doi.org/10.1080/02757540310001629198")</f>
        <v>http://dx.doi.org/10.1080/02757540310001629198</v>
      </c>
      <c r="BG383" t="s">
        <v>74</v>
      </c>
      <c r="BH383" t="s">
        <v>74</v>
      </c>
      <c r="BI383">
        <v>8</v>
      </c>
      <c r="BJ383" t="s">
        <v>5802</v>
      </c>
      <c r="BK383" t="s">
        <v>96</v>
      </c>
      <c r="BL383" t="s">
        <v>5803</v>
      </c>
      <c r="BM383" t="s">
        <v>5804</v>
      </c>
      <c r="BN383" t="s">
        <v>74</v>
      </c>
      <c r="BO383" t="s">
        <v>74</v>
      </c>
      <c r="BP383" t="s">
        <v>74</v>
      </c>
      <c r="BQ383" t="s">
        <v>74</v>
      </c>
      <c r="BR383" t="s">
        <v>99</v>
      </c>
      <c r="BS383" t="s">
        <v>5823</v>
      </c>
      <c r="BT383" t="str">
        <f>HYPERLINK("https%3A%2F%2Fwww.webofscience.com%2Fwos%2Fwoscc%2Ffull-record%2FWOS:000208520200007","View Full Record in Web of Science")</f>
        <v>View Full Record in Web of Science</v>
      </c>
    </row>
    <row r="384" spans="1:72" x14ac:dyDescent="0.15">
      <c r="A384" t="s">
        <v>72</v>
      </c>
      <c r="B384" t="s">
        <v>5824</v>
      </c>
      <c r="C384" t="s">
        <v>74</v>
      </c>
      <c r="D384" t="s">
        <v>74</v>
      </c>
      <c r="E384" t="s">
        <v>74</v>
      </c>
      <c r="F384" t="s">
        <v>5825</v>
      </c>
      <c r="G384" t="s">
        <v>74</v>
      </c>
      <c r="H384" t="s">
        <v>74</v>
      </c>
      <c r="I384" t="s">
        <v>5826</v>
      </c>
      <c r="J384" t="s">
        <v>5786</v>
      </c>
      <c r="K384" t="s">
        <v>74</v>
      </c>
      <c r="L384" t="s">
        <v>74</v>
      </c>
      <c r="M384" t="s">
        <v>77</v>
      </c>
      <c r="N384" t="s">
        <v>78</v>
      </c>
      <c r="O384" t="s">
        <v>74</v>
      </c>
      <c r="P384" t="s">
        <v>74</v>
      </c>
      <c r="Q384" t="s">
        <v>74</v>
      </c>
      <c r="R384" t="s">
        <v>74</v>
      </c>
      <c r="S384" t="s">
        <v>74</v>
      </c>
      <c r="T384" t="s">
        <v>5827</v>
      </c>
      <c r="U384" t="s">
        <v>5828</v>
      </c>
      <c r="V384" t="s">
        <v>5829</v>
      </c>
      <c r="W384" t="s">
        <v>5830</v>
      </c>
      <c r="X384" t="s">
        <v>5831</v>
      </c>
      <c r="Y384" t="s">
        <v>5832</v>
      </c>
      <c r="Z384" t="s">
        <v>5833</v>
      </c>
      <c r="AA384" t="s">
        <v>5834</v>
      </c>
      <c r="AB384" t="s">
        <v>5835</v>
      </c>
      <c r="AC384" t="s">
        <v>74</v>
      </c>
      <c r="AD384" t="s">
        <v>74</v>
      </c>
      <c r="AE384" t="s">
        <v>74</v>
      </c>
      <c r="AF384" t="s">
        <v>74</v>
      </c>
      <c r="AG384">
        <v>47</v>
      </c>
      <c r="AH384">
        <v>4</v>
      </c>
      <c r="AI384">
        <v>4</v>
      </c>
      <c r="AJ384">
        <v>1</v>
      </c>
      <c r="AK384">
        <v>4</v>
      </c>
      <c r="AL384" t="s">
        <v>2642</v>
      </c>
      <c r="AM384" t="s">
        <v>2643</v>
      </c>
      <c r="AN384" t="s">
        <v>2644</v>
      </c>
      <c r="AO384" t="s">
        <v>5796</v>
      </c>
      <c r="AP384" t="s">
        <v>5797</v>
      </c>
      <c r="AQ384" t="s">
        <v>74</v>
      </c>
      <c r="AR384" t="s">
        <v>5798</v>
      </c>
      <c r="AS384" t="s">
        <v>5799</v>
      </c>
      <c r="AT384" t="s">
        <v>74</v>
      </c>
      <c r="AU384">
        <v>2004</v>
      </c>
      <c r="AV384">
        <v>20</v>
      </c>
      <c r="AW384" t="s">
        <v>74</v>
      </c>
      <c r="AX384" t="s">
        <v>74</v>
      </c>
      <c r="AY384">
        <v>1</v>
      </c>
      <c r="AZ384" t="s">
        <v>74</v>
      </c>
      <c r="BA384" t="s">
        <v>74</v>
      </c>
      <c r="BB384" t="s">
        <v>5836</v>
      </c>
      <c r="BC384" t="s">
        <v>5837</v>
      </c>
      <c r="BD384" t="s">
        <v>74</v>
      </c>
      <c r="BE384" t="s">
        <v>5838</v>
      </c>
      <c r="BF384" t="str">
        <f>HYPERLINK("http://dx.doi.org/10.1080/02757540310001629206","http://dx.doi.org/10.1080/02757540310001629206")</f>
        <v>http://dx.doi.org/10.1080/02757540310001629206</v>
      </c>
      <c r="BG384" t="s">
        <v>74</v>
      </c>
      <c r="BH384" t="s">
        <v>74</v>
      </c>
      <c r="BI384">
        <v>9</v>
      </c>
      <c r="BJ384" t="s">
        <v>5802</v>
      </c>
      <c r="BK384" t="s">
        <v>96</v>
      </c>
      <c r="BL384" t="s">
        <v>5803</v>
      </c>
      <c r="BM384" t="s">
        <v>5804</v>
      </c>
      <c r="BN384" t="s">
        <v>74</v>
      </c>
      <c r="BO384" t="s">
        <v>74</v>
      </c>
      <c r="BP384" t="s">
        <v>74</v>
      </c>
      <c r="BQ384" t="s">
        <v>74</v>
      </c>
      <c r="BR384" t="s">
        <v>99</v>
      </c>
      <c r="BS384" t="s">
        <v>5839</v>
      </c>
      <c r="BT384" t="str">
        <f>HYPERLINK("https%3A%2F%2Fwww.webofscience.com%2Fwos%2Fwoscc%2Ffull-record%2FWOS:000208520200009","View Full Record in Web of Science")</f>
        <v>View Full Record in Web of Science</v>
      </c>
    </row>
    <row r="385" spans="1:72" x14ac:dyDescent="0.15">
      <c r="A385" t="s">
        <v>72</v>
      </c>
      <c r="B385" t="s">
        <v>5840</v>
      </c>
      <c r="C385" t="s">
        <v>74</v>
      </c>
      <c r="D385" t="s">
        <v>74</v>
      </c>
      <c r="E385" t="s">
        <v>74</v>
      </c>
      <c r="F385" t="s">
        <v>5841</v>
      </c>
      <c r="G385" t="s">
        <v>74</v>
      </c>
      <c r="H385" t="s">
        <v>74</v>
      </c>
      <c r="I385" t="s">
        <v>5842</v>
      </c>
      <c r="J385" t="s">
        <v>5786</v>
      </c>
      <c r="K385" t="s">
        <v>74</v>
      </c>
      <c r="L385" t="s">
        <v>74</v>
      </c>
      <c r="M385" t="s">
        <v>77</v>
      </c>
      <c r="N385" t="s">
        <v>78</v>
      </c>
      <c r="O385" t="s">
        <v>74</v>
      </c>
      <c r="P385" t="s">
        <v>74</v>
      </c>
      <c r="Q385" t="s">
        <v>74</v>
      </c>
      <c r="R385" t="s">
        <v>74</v>
      </c>
      <c r="S385" t="s">
        <v>74</v>
      </c>
      <c r="T385" t="s">
        <v>5843</v>
      </c>
      <c r="U385" t="s">
        <v>5844</v>
      </c>
      <c r="V385" t="s">
        <v>5845</v>
      </c>
      <c r="W385" t="s">
        <v>5846</v>
      </c>
      <c r="X385" t="s">
        <v>5847</v>
      </c>
      <c r="Y385" t="s">
        <v>5848</v>
      </c>
      <c r="Z385" t="s">
        <v>5849</v>
      </c>
      <c r="AA385" t="s">
        <v>5850</v>
      </c>
      <c r="AB385" t="s">
        <v>5851</v>
      </c>
      <c r="AC385" t="s">
        <v>5852</v>
      </c>
      <c r="AD385" t="s">
        <v>5852</v>
      </c>
      <c r="AE385" t="s">
        <v>5853</v>
      </c>
      <c r="AF385" t="s">
        <v>74</v>
      </c>
      <c r="AG385">
        <v>48</v>
      </c>
      <c r="AH385">
        <v>12</v>
      </c>
      <c r="AI385">
        <v>12</v>
      </c>
      <c r="AJ385">
        <v>0</v>
      </c>
      <c r="AK385">
        <v>9</v>
      </c>
      <c r="AL385" t="s">
        <v>2642</v>
      </c>
      <c r="AM385" t="s">
        <v>2643</v>
      </c>
      <c r="AN385" t="s">
        <v>2644</v>
      </c>
      <c r="AO385" t="s">
        <v>5796</v>
      </c>
      <c r="AP385" t="s">
        <v>5797</v>
      </c>
      <c r="AQ385" t="s">
        <v>74</v>
      </c>
      <c r="AR385" t="s">
        <v>5798</v>
      </c>
      <c r="AS385" t="s">
        <v>5799</v>
      </c>
      <c r="AT385" t="s">
        <v>74</v>
      </c>
      <c r="AU385">
        <v>2004</v>
      </c>
      <c r="AV385">
        <v>20</v>
      </c>
      <c r="AW385" t="s">
        <v>74</v>
      </c>
      <c r="AX385" t="s">
        <v>74</v>
      </c>
      <c r="AY385">
        <v>1</v>
      </c>
      <c r="AZ385" t="s">
        <v>74</v>
      </c>
      <c r="BA385" t="s">
        <v>74</v>
      </c>
      <c r="BB385" t="s">
        <v>5854</v>
      </c>
      <c r="BC385" t="s">
        <v>5855</v>
      </c>
      <c r="BD385" t="s">
        <v>74</v>
      </c>
      <c r="BE385" t="s">
        <v>5856</v>
      </c>
      <c r="BF385" t="str">
        <f>HYPERLINK("http://dx.doi.org/10.1080/02757540310001656657","http://dx.doi.org/10.1080/02757540310001656657")</f>
        <v>http://dx.doi.org/10.1080/02757540310001656657</v>
      </c>
      <c r="BG385" t="s">
        <v>74</v>
      </c>
      <c r="BH385" t="s">
        <v>74</v>
      </c>
      <c r="BI385">
        <v>13</v>
      </c>
      <c r="BJ385" t="s">
        <v>5802</v>
      </c>
      <c r="BK385" t="s">
        <v>96</v>
      </c>
      <c r="BL385" t="s">
        <v>5803</v>
      </c>
      <c r="BM385" t="s">
        <v>5804</v>
      </c>
      <c r="BN385" t="s">
        <v>74</v>
      </c>
      <c r="BO385" t="s">
        <v>74</v>
      </c>
      <c r="BP385" t="s">
        <v>74</v>
      </c>
      <c r="BQ385" t="s">
        <v>74</v>
      </c>
      <c r="BR385" t="s">
        <v>99</v>
      </c>
      <c r="BS385" t="s">
        <v>5857</v>
      </c>
      <c r="BT385" t="str">
        <f>HYPERLINK("https%3A%2F%2Fwww.webofscience.com%2Fwos%2Fwoscc%2Ffull-record%2FWOS:000208520200006","View Full Record in Web of Science")</f>
        <v>View Full Record in Web of Science</v>
      </c>
    </row>
    <row r="386" spans="1:72" x14ac:dyDescent="0.15">
      <c r="A386" t="s">
        <v>72</v>
      </c>
      <c r="B386" t="s">
        <v>5858</v>
      </c>
      <c r="C386" t="s">
        <v>74</v>
      </c>
      <c r="D386" t="s">
        <v>74</v>
      </c>
      <c r="E386" t="s">
        <v>74</v>
      </c>
      <c r="F386" t="s">
        <v>5859</v>
      </c>
      <c r="G386" t="s">
        <v>74</v>
      </c>
      <c r="H386" t="s">
        <v>74</v>
      </c>
      <c r="I386" t="s">
        <v>5860</v>
      </c>
      <c r="J386" t="s">
        <v>5786</v>
      </c>
      <c r="K386" t="s">
        <v>74</v>
      </c>
      <c r="L386" t="s">
        <v>74</v>
      </c>
      <c r="M386" t="s">
        <v>77</v>
      </c>
      <c r="N386" t="s">
        <v>78</v>
      </c>
      <c r="O386" t="s">
        <v>74</v>
      </c>
      <c r="P386" t="s">
        <v>74</v>
      </c>
      <c r="Q386" t="s">
        <v>74</v>
      </c>
      <c r="R386" t="s">
        <v>74</v>
      </c>
      <c r="S386" t="s">
        <v>74</v>
      </c>
      <c r="T386" t="s">
        <v>5861</v>
      </c>
      <c r="U386" t="s">
        <v>5862</v>
      </c>
      <c r="V386" t="s">
        <v>5863</v>
      </c>
      <c r="W386" t="s">
        <v>5864</v>
      </c>
      <c r="X386" t="s">
        <v>5865</v>
      </c>
      <c r="Y386" t="s">
        <v>5866</v>
      </c>
      <c r="Z386" t="s">
        <v>5867</v>
      </c>
      <c r="AA386" t="s">
        <v>5868</v>
      </c>
      <c r="AB386" t="s">
        <v>5869</v>
      </c>
      <c r="AC386" t="s">
        <v>5870</v>
      </c>
      <c r="AD386" t="s">
        <v>5871</v>
      </c>
      <c r="AE386" t="s">
        <v>5872</v>
      </c>
      <c r="AF386" t="s">
        <v>74</v>
      </c>
      <c r="AG386">
        <v>26</v>
      </c>
      <c r="AH386">
        <v>8</v>
      </c>
      <c r="AI386">
        <v>9</v>
      </c>
      <c r="AJ386">
        <v>0</v>
      </c>
      <c r="AK386">
        <v>6</v>
      </c>
      <c r="AL386" t="s">
        <v>2642</v>
      </c>
      <c r="AM386" t="s">
        <v>2643</v>
      </c>
      <c r="AN386" t="s">
        <v>2644</v>
      </c>
      <c r="AO386" t="s">
        <v>5796</v>
      </c>
      <c r="AP386" t="s">
        <v>5797</v>
      </c>
      <c r="AQ386" t="s">
        <v>74</v>
      </c>
      <c r="AR386" t="s">
        <v>5798</v>
      </c>
      <c r="AS386" t="s">
        <v>5799</v>
      </c>
      <c r="AT386" t="s">
        <v>74</v>
      </c>
      <c r="AU386">
        <v>2004</v>
      </c>
      <c r="AV386">
        <v>20</v>
      </c>
      <c r="AW386" t="s">
        <v>74</v>
      </c>
      <c r="AX386" t="s">
        <v>74</v>
      </c>
      <c r="AY386">
        <v>1</v>
      </c>
      <c r="AZ386" t="s">
        <v>74</v>
      </c>
      <c r="BA386" t="s">
        <v>74</v>
      </c>
      <c r="BB386" t="s">
        <v>5873</v>
      </c>
      <c r="BC386" t="s">
        <v>5874</v>
      </c>
      <c r="BD386" t="s">
        <v>74</v>
      </c>
      <c r="BE386" t="s">
        <v>5875</v>
      </c>
      <c r="BF386" t="str">
        <f>HYPERLINK("http://dx.doi.org/10.1080/02757540410001664611","http://dx.doi.org/10.1080/02757540410001664611")</f>
        <v>http://dx.doi.org/10.1080/02757540410001664611</v>
      </c>
      <c r="BG386" t="s">
        <v>74</v>
      </c>
      <c r="BH386" t="s">
        <v>74</v>
      </c>
      <c r="BI386">
        <v>13</v>
      </c>
      <c r="BJ386" t="s">
        <v>5802</v>
      </c>
      <c r="BK386" t="s">
        <v>96</v>
      </c>
      <c r="BL386" t="s">
        <v>5803</v>
      </c>
      <c r="BM386" t="s">
        <v>5804</v>
      </c>
      <c r="BN386" t="s">
        <v>74</v>
      </c>
      <c r="BO386" t="s">
        <v>74</v>
      </c>
      <c r="BP386" t="s">
        <v>74</v>
      </c>
      <c r="BQ386" t="s">
        <v>74</v>
      </c>
      <c r="BR386" t="s">
        <v>99</v>
      </c>
      <c r="BS386" t="s">
        <v>5876</v>
      </c>
      <c r="BT386" t="str">
        <f>HYPERLINK("https%3A%2F%2Fwww.webofscience.com%2Fwos%2Fwoscc%2Ffull-record%2FWOS:000208520200005","View Full Record in Web of Science")</f>
        <v>View Full Record in Web of Science</v>
      </c>
    </row>
    <row r="387" spans="1:72" x14ac:dyDescent="0.15">
      <c r="A387" t="s">
        <v>72</v>
      </c>
      <c r="B387" t="s">
        <v>5877</v>
      </c>
      <c r="C387" t="s">
        <v>74</v>
      </c>
      <c r="D387" t="s">
        <v>74</v>
      </c>
      <c r="E387" t="s">
        <v>74</v>
      </c>
      <c r="F387" t="s">
        <v>5878</v>
      </c>
      <c r="G387" t="s">
        <v>74</v>
      </c>
      <c r="H387" t="s">
        <v>74</v>
      </c>
      <c r="I387" t="s">
        <v>5879</v>
      </c>
      <c r="J387" t="s">
        <v>5786</v>
      </c>
      <c r="K387" t="s">
        <v>74</v>
      </c>
      <c r="L387" t="s">
        <v>74</v>
      </c>
      <c r="M387" t="s">
        <v>77</v>
      </c>
      <c r="N387" t="s">
        <v>78</v>
      </c>
      <c r="O387" t="s">
        <v>74</v>
      </c>
      <c r="P387" t="s">
        <v>74</v>
      </c>
      <c r="Q387" t="s">
        <v>74</v>
      </c>
      <c r="R387" t="s">
        <v>74</v>
      </c>
      <c r="S387" t="s">
        <v>74</v>
      </c>
      <c r="T387" t="s">
        <v>5880</v>
      </c>
      <c r="U387" t="s">
        <v>5881</v>
      </c>
      <c r="V387" t="s">
        <v>5882</v>
      </c>
      <c r="W387" t="s">
        <v>5883</v>
      </c>
      <c r="X387" t="s">
        <v>5884</v>
      </c>
      <c r="Y387" t="s">
        <v>5885</v>
      </c>
      <c r="Z387" t="s">
        <v>5886</v>
      </c>
      <c r="AA387" t="s">
        <v>5887</v>
      </c>
      <c r="AB387" t="s">
        <v>5888</v>
      </c>
      <c r="AC387" t="s">
        <v>5889</v>
      </c>
      <c r="AD387" t="s">
        <v>5889</v>
      </c>
      <c r="AE387" t="s">
        <v>5890</v>
      </c>
      <c r="AF387" t="s">
        <v>74</v>
      </c>
      <c r="AG387">
        <v>43</v>
      </c>
      <c r="AH387">
        <v>3</v>
      </c>
      <c r="AI387">
        <v>3</v>
      </c>
      <c r="AJ387">
        <v>0</v>
      </c>
      <c r="AK387">
        <v>3</v>
      </c>
      <c r="AL387" t="s">
        <v>2642</v>
      </c>
      <c r="AM387" t="s">
        <v>2643</v>
      </c>
      <c r="AN387" t="s">
        <v>2644</v>
      </c>
      <c r="AO387" t="s">
        <v>5796</v>
      </c>
      <c r="AP387" t="s">
        <v>5797</v>
      </c>
      <c r="AQ387" t="s">
        <v>74</v>
      </c>
      <c r="AR387" t="s">
        <v>5798</v>
      </c>
      <c r="AS387" t="s">
        <v>5799</v>
      </c>
      <c r="AT387" t="s">
        <v>74</v>
      </c>
      <c r="AU387">
        <v>2004</v>
      </c>
      <c r="AV387">
        <v>20</v>
      </c>
      <c r="AW387" t="s">
        <v>74</v>
      </c>
      <c r="AX387" t="s">
        <v>74</v>
      </c>
      <c r="AY387">
        <v>1</v>
      </c>
      <c r="AZ387" t="s">
        <v>74</v>
      </c>
      <c r="BA387" t="s">
        <v>74</v>
      </c>
      <c r="BB387" t="s">
        <v>5891</v>
      </c>
      <c r="BC387" t="s">
        <v>5892</v>
      </c>
      <c r="BD387" t="s">
        <v>74</v>
      </c>
      <c r="BE387" t="s">
        <v>5893</v>
      </c>
      <c r="BF387" t="str">
        <f>HYPERLINK("http://dx.doi.org/10.1080/02757540410001655413","http://dx.doi.org/10.1080/02757540410001655413")</f>
        <v>http://dx.doi.org/10.1080/02757540410001655413</v>
      </c>
      <c r="BG387" t="s">
        <v>74</v>
      </c>
      <c r="BH387" t="s">
        <v>74</v>
      </c>
      <c r="BI387">
        <v>13</v>
      </c>
      <c r="BJ387" t="s">
        <v>5802</v>
      </c>
      <c r="BK387" t="s">
        <v>96</v>
      </c>
      <c r="BL387" t="s">
        <v>5803</v>
      </c>
      <c r="BM387" t="s">
        <v>5804</v>
      </c>
      <c r="BN387" t="s">
        <v>74</v>
      </c>
      <c r="BO387" t="s">
        <v>74</v>
      </c>
      <c r="BP387" t="s">
        <v>74</v>
      </c>
      <c r="BQ387" t="s">
        <v>74</v>
      </c>
      <c r="BR387" t="s">
        <v>99</v>
      </c>
      <c r="BS387" t="s">
        <v>5894</v>
      </c>
      <c r="BT387" t="str">
        <f>HYPERLINK("https%3A%2F%2Fwww.webofscience.com%2Fwos%2Fwoscc%2Ffull-record%2FWOS:000208520200008","View Full Record in Web of Science")</f>
        <v>View Full Record in Web of Science</v>
      </c>
    </row>
    <row r="388" spans="1:72" x14ac:dyDescent="0.15">
      <c r="A388" t="s">
        <v>72</v>
      </c>
      <c r="B388" t="s">
        <v>5895</v>
      </c>
      <c r="C388" t="s">
        <v>74</v>
      </c>
      <c r="D388" t="s">
        <v>74</v>
      </c>
      <c r="E388" t="s">
        <v>74</v>
      </c>
      <c r="F388" t="s">
        <v>5896</v>
      </c>
      <c r="G388" t="s">
        <v>74</v>
      </c>
      <c r="H388" t="s">
        <v>74</v>
      </c>
      <c r="I388" t="s">
        <v>5897</v>
      </c>
      <c r="J388" t="s">
        <v>5786</v>
      </c>
      <c r="K388" t="s">
        <v>74</v>
      </c>
      <c r="L388" t="s">
        <v>74</v>
      </c>
      <c r="M388" t="s">
        <v>77</v>
      </c>
      <c r="N388" t="s">
        <v>78</v>
      </c>
      <c r="O388" t="s">
        <v>74</v>
      </c>
      <c r="P388" t="s">
        <v>74</v>
      </c>
      <c r="Q388" t="s">
        <v>74</v>
      </c>
      <c r="R388" t="s">
        <v>74</v>
      </c>
      <c r="S388" t="s">
        <v>74</v>
      </c>
      <c r="T388" t="s">
        <v>5898</v>
      </c>
      <c r="U388" t="s">
        <v>74</v>
      </c>
      <c r="V388" t="s">
        <v>5899</v>
      </c>
      <c r="W388" t="s">
        <v>5900</v>
      </c>
      <c r="X388" t="s">
        <v>5901</v>
      </c>
      <c r="Y388" t="s">
        <v>5902</v>
      </c>
      <c r="Z388" t="s">
        <v>5903</v>
      </c>
      <c r="AA388" t="s">
        <v>5904</v>
      </c>
      <c r="AB388" t="s">
        <v>5905</v>
      </c>
      <c r="AC388" t="s">
        <v>74</v>
      </c>
      <c r="AD388" t="s">
        <v>74</v>
      </c>
      <c r="AE388" t="s">
        <v>74</v>
      </c>
      <c r="AF388" t="s">
        <v>74</v>
      </c>
      <c r="AG388">
        <v>33</v>
      </c>
      <c r="AH388">
        <v>4</v>
      </c>
      <c r="AI388">
        <v>4</v>
      </c>
      <c r="AJ388">
        <v>1</v>
      </c>
      <c r="AK388">
        <v>6</v>
      </c>
      <c r="AL388" t="s">
        <v>2642</v>
      </c>
      <c r="AM388" t="s">
        <v>2643</v>
      </c>
      <c r="AN388" t="s">
        <v>5906</v>
      </c>
      <c r="AO388" t="s">
        <v>5796</v>
      </c>
      <c r="AP388" t="s">
        <v>74</v>
      </c>
      <c r="AQ388" t="s">
        <v>74</v>
      </c>
      <c r="AR388" t="s">
        <v>5798</v>
      </c>
      <c r="AS388" t="s">
        <v>5799</v>
      </c>
      <c r="AT388" t="s">
        <v>74</v>
      </c>
      <c r="AU388">
        <v>2004</v>
      </c>
      <c r="AV388">
        <v>20</v>
      </c>
      <c r="AW388" t="s">
        <v>74</v>
      </c>
      <c r="AX388" t="s">
        <v>74</v>
      </c>
      <c r="AY388">
        <v>1</v>
      </c>
      <c r="AZ388" t="s">
        <v>74</v>
      </c>
      <c r="BA388" t="s">
        <v>74</v>
      </c>
      <c r="BB388" t="s">
        <v>5907</v>
      </c>
      <c r="BC388" t="s">
        <v>5908</v>
      </c>
      <c r="BD388" t="s">
        <v>74</v>
      </c>
      <c r="BE388" t="s">
        <v>5909</v>
      </c>
      <c r="BF388" t="str">
        <f>HYPERLINK("http://dx.doi.org/10.1080/02757540410001655387","http://dx.doi.org/10.1080/02757540410001655387")</f>
        <v>http://dx.doi.org/10.1080/02757540410001655387</v>
      </c>
      <c r="BG388" t="s">
        <v>74</v>
      </c>
      <c r="BH388" t="s">
        <v>74</v>
      </c>
      <c r="BI388">
        <v>13</v>
      </c>
      <c r="BJ388" t="s">
        <v>5802</v>
      </c>
      <c r="BK388" t="s">
        <v>96</v>
      </c>
      <c r="BL388" t="s">
        <v>5803</v>
      </c>
      <c r="BM388" t="s">
        <v>5804</v>
      </c>
      <c r="BN388" t="s">
        <v>74</v>
      </c>
      <c r="BO388" t="s">
        <v>74</v>
      </c>
      <c r="BP388" t="s">
        <v>74</v>
      </c>
      <c r="BQ388" t="s">
        <v>74</v>
      </c>
      <c r="BR388" t="s">
        <v>99</v>
      </c>
      <c r="BS388" t="s">
        <v>5910</v>
      </c>
      <c r="BT388" t="str">
        <f>HYPERLINK("https%3A%2F%2Fwww.webofscience.com%2Fwos%2Fwoscc%2Ffull-record%2FWOS:000208520200012","View Full Record in Web of Science")</f>
        <v>View Full Record in Web of Science</v>
      </c>
    </row>
    <row r="389" spans="1:72" x14ac:dyDescent="0.15">
      <c r="A389" t="s">
        <v>497</v>
      </c>
      <c r="B389" t="s">
        <v>5911</v>
      </c>
      <c r="C389" t="s">
        <v>74</v>
      </c>
      <c r="D389" t="s">
        <v>5912</v>
      </c>
      <c r="E389" t="s">
        <v>74</v>
      </c>
      <c r="F389" t="s">
        <v>5911</v>
      </c>
      <c r="G389" t="s">
        <v>74</v>
      </c>
      <c r="H389" t="s">
        <v>74</v>
      </c>
      <c r="I389" t="s">
        <v>5913</v>
      </c>
      <c r="J389" t="s">
        <v>5914</v>
      </c>
      <c r="K389" t="s">
        <v>5915</v>
      </c>
      <c r="L389" t="s">
        <v>74</v>
      </c>
      <c r="M389" t="s">
        <v>77</v>
      </c>
      <c r="N389" t="s">
        <v>311</v>
      </c>
      <c r="O389" t="s">
        <v>5916</v>
      </c>
      <c r="P389" t="s">
        <v>5917</v>
      </c>
      <c r="Q389" t="s">
        <v>5918</v>
      </c>
      <c r="R389" t="s">
        <v>74</v>
      </c>
      <c r="S389" t="s">
        <v>74</v>
      </c>
      <c r="T389" t="s">
        <v>5919</v>
      </c>
      <c r="U389" t="s">
        <v>5920</v>
      </c>
      <c r="V389" t="s">
        <v>5921</v>
      </c>
      <c r="W389" t="s">
        <v>5922</v>
      </c>
      <c r="X389" t="s">
        <v>82</v>
      </c>
      <c r="Y389" t="s">
        <v>5923</v>
      </c>
      <c r="Z389" t="s">
        <v>5924</v>
      </c>
      <c r="AA389" t="s">
        <v>74</v>
      </c>
      <c r="AB389" t="s">
        <v>74</v>
      </c>
      <c r="AC389" t="s">
        <v>74</v>
      </c>
      <c r="AD389" t="s">
        <v>74</v>
      </c>
      <c r="AE389" t="s">
        <v>74</v>
      </c>
      <c r="AF389" t="s">
        <v>74</v>
      </c>
      <c r="AG389">
        <v>22</v>
      </c>
      <c r="AH389">
        <v>25</v>
      </c>
      <c r="AI389">
        <v>27</v>
      </c>
      <c r="AJ389">
        <v>0</v>
      </c>
      <c r="AK389">
        <v>11</v>
      </c>
      <c r="AL389" t="s">
        <v>213</v>
      </c>
      <c r="AM389" t="s">
        <v>5925</v>
      </c>
      <c r="AN389" t="s">
        <v>5926</v>
      </c>
      <c r="AO389" t="s">
        <v>5927</v>
      </c>
      <c r="AP389" t="s">
        <v>74</v>
      </c>
      <c r="AQ389" t="s">
        <v>74</v>
      </c>
      <c r="AR389" t="s">
        <v>5928</v>
      </c>
      <c r="AS389" t="s">
        <v>74</v>
      </c>
      <c r="AT389" t="s">
        <v>74</v>
      </c>
      <c r="AU389">
        <v>2004</v>
      </c>
      <c r="AV389">
        <v>33</v>
      </c>
      <c r="AW389">
        <v>7</v>
      </c>
      <c r="AX389" t="s">
        <v>74</v>
      </c>
      <c r="AY389" t="s">
        <v>74</v>
      </c>
      <c r="AZ389" t="s">
        <v>74</v>
      </c>
      <c r="BA389" t="s">
        <v>74</v>
      </c>
      <c r="BB389">
        <v>1048</v>
      </c>
      <c r="BC389">
        <v>1052</v>
      </c>
      <c r="BD389" t="s">
        <v>74</v>
      </c>
      <c r="BE389" t="s">
        <v>5929</v>
      </c>
      <c r="BF389" t="str">
        <f>HYPERLINK("http://dx.doi.org/10.1016/S0273-1177(03)00587-8","http://dx.doi.org/10.1016/S0273-1177(03)00587-8")</f>
        <v>http://dx.doi.org/10.1016/S0273-1177(03)00587-8</v>
      </c>
      <c r="BG389" t="s">
        <v>74</v>
      </c>
      <c r="BH389" t="s">
        <v>74</v>
      </c>
      <c r="BI389">
        <v>5</v>
      </c>
      <c r="BJ389" t="s">
        <v>5930</v>
      </c>
      <c r="BK389" t="s">
        <v>1116</v>
      </c>
      <c r="BL389" t="s">
        <v>5931</v>
      </c>
      <c r="BM389" t="s">
        <v>5932</v>
      </c>
      <c r="BN389" t="s">
        <v>74</v>
      </c>
      <c r="BO389" t="s">
        <v>74</v>
      </c>
      <c r="BP389" t="s">
        <v>74</v>
      </c>
      <c r="BQ389" t="s">
        <v>74</v>
      </c>
      <c r="BR389" t="s">
        <v>99</v>
      </c>
      <c r="BS389" t="s">
        <v>5933</v>
      </c>
      <c r="BT389" t="str">
        <f>HYPERLINK("https%3A%2F%2Fwww.webofscience.com%2Fwos%2Fwoscc%2Ffull-record%2FWOS:000222000000006","View Full Record in Web of Science")</f>
        <v>View Full Record in Web of Science</v>
      </c>
    </row>
    <row r="390" spans="1:72" x14ac:dyDescent="0.15">
      <c r="A390" t="s">
        <v>497</v>
      </c>
      <c r="B390" t="s">
        <v>5934</v>
      </c>
      <c r="C390" t="s">
        <v>74</v>
      </c>
      <c r="D390" t="s">
        <v>5912</v>
      </c>
      <c r="E390" t="s">
        <v>74</v>
      </c>
      <c r="F390" t="s">
        <v>5934</v>
      </c>
      <c r="G390" t="s">
        <v>74</v>
      </c>
      <c r="H390" t="s">
        <v>74</v>
      </c>
      <c r="I390" t="s">
        <v>5935</v>
      </c>
      <c r="J390" t="s">
        <v>5914</v>
      </c>
      <c r="K390" t="s">
        <v>5915</v>
      </c>
      <c r="L390" t="s">
        <v>74</v>
      </c>
      <c r="M390" t="s">
        <v>77</v>
      </c>
      <c r="N390" t="s">
        <v>311</v>
      </c>
      <c r="O390" t="s">
        <v>5916</v>
      </c>
      <c r="P390" t="s">
        <v>5917</v>
      </c>
      <c r="Q390" t="s">
        <v>5918</v>
      </c>
      <c r="R390" t="s">
        <v>74</v>
      </c>
      <c r="S390" t="s">
        <v>74</v>
      </c>
      <c r="T390" t="s">
        <v>5936</v>
      </c>
      <c r="U390" t="s">
        <v>5937</v>
      </c>
      <c r="V390" t="s">
        <v>5938</v>
      </c>
      <c r="W390" t="s">
        <v>5939</v>
      </c>
      <c r="X390" t="s">
        <v>5940</v>
      </c>
      <c r="Y390" t="s">
        <v>5941</v>
      </c>
      <c r="Z390" t="s">
        <v>5942</v>
      </c>
      <c r="AA390" t="s">
        <v>74</v>
      </c>
      <c r="AB390" t="s">
        <v>74</v>
      </c>
      <c r="AC390" t="s">
        <v>74</v>
      </c>
      <c r="AD390" t="s">
        <v>74</v>
      </c>
      <c r="AE390" t="s">
        <v>74</v>
      </c>
      <c r="AF390" t="s">
        <v>74</v>
      </c>
      <c r="AG390">
        <v>28</v>
      </c>
      <c r="AH390">
        <v>15</v>
      </c>
      <c r="AI390">
        <v>19</v>
      </c>
      <c r="AJ390">
        <v>1</v>
      </c>
      <c r="AK390">
        <v>9</v>
      </c>
      <c r="AL390" t="s">
        <v>213</v>
      </c>
      <c r="AM390" t="s">
        <v>5925</v>
      </c>
      <c r="AN390" t="s">
        <v>5926</v>
      </c>
      <c r="AO390" t="s">
        <v>5927</v>
      </c>
      <c r="AP390" t="s">
        <v>74</v>
      </c>
      <c r="AQ390" t="s">
        <v>74</v>
      </c>
      <c r="AR390" t="s">
        <v>5928</v>
      </c>
      <c r="AS390" t="s">
        <v>74</v>
      </c>
      <c r="AT390" t="s">
        <v>74</v>
      </c>
      <c r="AU390">
        <v>2004</v>
      </c>
      <c r="AV390">
        <v>33</v>
      </c>
      <c r="AW390">
        <v>7</v>
      </c>
      <c r="AX390" t="s">
        <v>74</v>
      </c>
      <c r="AY390" t="s">
        <v>74</v>
      </c>
      <c r="AZ390" t="s">
        <v>74</v>
      </c>
      <c r="BA390" t="s">
        <v>74</v>
      </c>
      <c r="BB390">
        <v>1168</v>
      </c>
      <c r="BC390">
        <v>1172</v>
      </c>
      <c r="BD390" t="s">
        <v>74</v>
      </c>
      <c r="BE390" t="s">
        <v>5943</v>
      </c>
      <c r="BF390" t="str">
        <f>HYPERLINK("http://dx.doi.org/10.1016/S0273-1177(03)00368-5","http://dx.doi.org/10.1016/S0273-1177(03)00368-5")</f>
        <v>http://dx.doi.org/10.1016/S0273-1177(03)00368-5</v>
      </c>
      <c r="BG390" t="s">
        <v>74</v>
      </c>
      <c r="BH390" t="s">
        <v>74</v>
      </c>
      <c r="BI390">
        <v>5</v>
      </c>
      <c r="BJ390" t="s">
        <v>5930</v>
      </c>
      <c r="BK390" t="s">
        <v>1116</v>
      </c>
      <c r="BL390" t="s">
        <v>5931</v>
      </c>
      <c r="BM390" t="s">
        <v>5932</v>
      </c>
      <c r="BN390" t="s">
        <v>74</v>
      </c>
      <c r="BO390" t="s">
        <v>74</v>
      </c>
      <c r="BP390" t="s">
        <v>74</v>
      </c>
      <c r="BQ390" t="s">
        <v>74</v>
      </c>
      <c r="BR390" t="s">
        <v>99</v>
      </c>
      <c r="BS390" t="s">
        <v>5944</v>
      </c>
      <c r="BT390" t="str">
        <f>HYPERLINK("https%3A%2F%2Fwww.webofscience.com%2Fwos%2Fwoscc%2Ffull-record%2FWOS:000222000000027","View Full Record in Web of Science")</f>
        <v>View Full Record in Web of Science</v>
      </c>
    </row>
    <row r="391" spans="1:72" x14ac:dyDescent="0.15">
      <c r="A391" t="s">
        <v>3934</v>
      </c>
      <c r="B391" t="s">
        <v>5945</v>
      </c>
      <c r="C391" t="s">
        <v>74</v>
      </c>
      <c r="D391" t="s">
        <v>5946</v>
      </c>
      <c r="E391" t="s">
        <v>74</v>
      </c>
      <c r="F391" t="s">
        <v>5945</v>
      </c>
      <c r="G391" t="s">
        <v>74</v>
      </c>
      <c r="H391" t="s">
        <v>74</v>
      </c>
      <c r="I391" t="s">
        <v>5947</v>
      </c>
      <c r="J391" t="s">
        <v>5948</v>
      </c>
      <c r="K391" t="s">
        <v>5949</v>
      </c>
      <c r="L391" t="s">
        <v>74</v>
      </c>
      <c r="M391" t="s">
        <v>77</v>
      </c>
      <c r="N391" t="s">
        <v>3940</v>
      </c>
      <c r="O391" t="s">
        <v>5950</v>
      </c>
      <c r="P391" t="s">
        <v>5951</v>
      </c>
      <c r="Q391" t="s">
        <v>5952</v>
      </c>
      <c r="R391" t="s">
        <v>74</v>
      </c>
      <c r="S391" t="s">
        <v>74</v>
      </c>
      <c r="T391" t="s">
        <v>74</v>
      </c>
      <c r="U391" t="s">
        <v>74</v>
      </c>
      <c r="V391" t="s">
        <v>5953</v>
      </c>
      <c r="W391" t="s">
        <v>5954</v>
      </c>
      <c r="X391" t="s">
        <v>924</v>
      </c>
      <c r="Y391" t="s">
        <v>5955</v>
      </c>
      <c r="Z391" t="s">
        <v>74</v>
      </c>
      <c r="AA391" t="s">
        <v>5956</v>
      </c>
      <c r="AB391" t="s">
        <v>5957</v>
      </c>
      <c r="AC391" t="s">
        <v>74</v>
      </c>
      <c r="AD391" t="s">
        <v>74</v>
      </c>
      <c r="AE391" t="s">
        <v>74</v>
      </c>
      <c r="AF391" t="s">
        <v>74</v>
      </c>
      <c r="AG391">
        <v>0</v>
      </c>
      <c r="AH391">
        <v>1</v>
      </c>
      <c r="AI391">
        <v>1</v>
      </c>
      <c r="AJ391">
        <v>0</v>
      </c>
      <c r="AK391">
        <v>0</v>
      </c>
      <c r="AL391" t="s">
        <v>86</v>
      </c>
      <c r="AM391" t="s">
        <v>87</v>
      </c>
      <c r="AN391" t="s">
        <v>5958</v>
      </c>
      <c r="AO391" t="s">
        <v>5959</v>
      </c>
      <c r="AP391" t="s">
        <v>74</v>
      </c>
      <c r="AQ391" t="s">
        <v>5960</v>
      </c>
      <c r="AR391" t="s">
        <v>5961</v>
      </c>
      <c r="AS391" t="s">
        <v>74</v>
      </c>
      <c r="AT391" t="s">
        <v>74</v>
      </c>
      <c r="AU391">
        <v>2004</v>
      </c>
      <c r="AV391" t="s">
        <v>74</v>
      </c>
      <c r="AW391" t="s">
        <v>74</v>
      </c>
      <c r="AX391" t="s">
        <v>74</v>
      </c>
      <c r="AY391" t="s">
        <v>74</v>
      </c>
      <c r="AZ391" t="s">
        <v>74</v>
      </c>
      <c r="BA391" t="s">
        <v>74</v>
      </c>
      <c r="BB391">
        <v>171</v>
      </c>
      <c r="BC391">
        <v>193</v>
      </c>
      <c r="BD391" t="s">
        <v>74</v>
      </c>
      <c r="BE391" t="s">
        <v>74</v>
      </c>
      <c r="BF391" t="s">
        <v>74</v>
      </c>
      <c r="BG391" t="s">
        <v>74</v>
      </c>
      <c r="BH391" t="s">
        <v>74</v>
      </c>
      <c r="BI391">
        <v>23</v>
      </c>
      <c r="BJ391" t="s">
        <v>5962</v>
      </c>
      <c r="BK391" t="s">
        <v>3955</v>
      </c>
      <c r="BL391" t="s">
        <v>5963</v>
      </c>
      <c r="BM391" t="s">
        <v>5964</v>
      </c>
      <c r="BN391" t="s">
        <v>74</v>
      </c>
      <c r="BO391" t="s">
        <v>74</v>
      </c>
      <c r="BP391" t="s">
        <v>74</v>
      </c>
      <c r="BQ391" t="s">
        <v>74</v>
      </c>
      <c r="BR391" t="s">
        <v>99</v>
      </c>
      <c r="BS391" t="s">
        <v>5965</v>
      </c>
      <c r="BT391" t="str">
        <f>HYPERLINK("https%3A%2F%2Fwww.webofscience.com%2Fwos%2Fwoscc%2Ffull-record%2FWOS:000222026200010","View Full Record in Web of Science")</f>
        <v>View Full Record in Web of Science</v>
      </c>
    </row>
    <row r="392" spans="1:72" x14ac:dyDescent="0.15">
      <c r="A392" t="s">
        <v>72</v>
      </c>
      <c r="B392" t="s">
        <v>5966</v>
      </c>
      <c r="C392" t="s">
        <v>74</v>
      </c>
      <c r="D392" t="s">
        <v>74</v>
      </c>
      <c r="E392" t="s">
        <v>74</v>
      </c>
      <c r="F392" t="s">
        <v>5966</v>
      </c>
      <c r="G392" t="s">
        <v>74</v>
      </c>
      <c r="H392" t="s">
        <v>74</v>
      </c>
      <c r="I392" t="s">
        <v>5967</v>
      </c>
      <c r="J392" t="s">
        <v>5968</v>
      </c>
      <c r="K392" t="s">
        <v>74</v>
      </c>
      <c r="L392" t="s">
        <v>74</v>
      </c>
      <c r="M392" t="s">
        <v>77</v>
      </c>
      <c r="N392" t="s">
        <v>78</v>
      </c>
      <c r="O392" t="s">
        <v>74</v>
      </c>
      <c r="P392" t="s">
        <v>74</v>
      </c>
      <c r="Q392" t="s">
        <v>74</v>
      </c>
      <c r="R392" t="s">
        <v>74</v>
      </c>
      <c r="S392" t="s">
        <v>74</v>
      </c>
      <c r="T392" t="s">
        <v>74</v>
      </c>
      <c r="U392" t="s">
        <v>5969</v>
      </c>
      <c r="V392" t="s">
        <v>5970</v>
      </c>
      <c r="W392" t="s">
        <v>5971</v>
      </c>
      <c r="X392" t="s">
        <v>3326</v>
      </c>
      <c r="Y392" t="s">
        <v>5972</v>
      </c>
      <c r="Z392" t="s">
        <v>5973</v>
      </c>
      <c r="AA392" t="s">
        <v>5974</v>
      </c>
      <c r="AB392" t="s">
        <v>5975</v>
      </c>
      <c r="AC392" t="s">
        <v>74</v>
      </c>
      <c r="AD392" t="s">
        <v>74</v>
      </c>
      <c r="AE392" t="s">
        <v>74</v>
      </c>
      <c r="AF392" t="s">
        <v>74</v>
      </c>
      <c r="AG392">
        <v>34</v>
      </c>
      <c r="AH392">
        <v>33</v>
      </c>
      <c r="AI392">
        <v>36</v>
      </c>
      <c r="AJ392">
        <v>0</v>
      </c>
      <c r="AK392">
        <v>16</v>
      </c>
      <c r="AL392" t="s">
        <v>86</v>
      </c>
      <c r="AM392" t="s">
        <v>3376</v>
      </c>
      <c r="AN392" t="s">
        <v>3377</v>
      </c>
      <c r="AO392" t="s">
        <v>5976</v>
      </c>
      <c r="AP392" t="s">
        <v>5977</v>
      </c>
      <c r="AQ392" t="s">
        <v>74</v>
      </c>
      <c r="AR392" t="s">
        <v>5968</v>
      </c>
      <c r="AS392" t="s">
        <v>5978</v>
      </c>
      <c r="AT392" t="s">
        <v>5979</v>
      </c>
      <c r="AU392">
        <v>2004</v>
      </c>
      <c r="AV392">
        <v>62</v>
      </c>
      <c r="AW392" t="s">
        <v>3766</v>
      </c>
      <c r="AX392" t="s">
        <v>74</v>
      </c>
      <c r="AY392" t="s">
        <v>74</v>
      </c>
      <c r="AZ392" t="s">
        <v>74</v>
      </c>
      <c r="BA392" t="s">
        <v>74</v>
      </c>
      <c r="BB392">
        <v>29</v>
      </c>
      <c r="BC392">
        <v>43</v>
      </c>
      <c r="BD392" t="s">
        <v>74</v>
      </c>
      <c r="BE392" t="s">
        <v>5980</v>
      </c>
      <c r="BF392" t="str">
        <f>HYPERLINK("http://dx.doi.org/10.1023/B:CLIM.0000013679.74883.e6","http://dx.doi.org/10.1023/B:CLIM.0000013679.74883.e6")</f>
        <v>http://dx.doi.org/10.1023/B:CLIM.0000013679.74883.e6</v>
      </c>
      <c r="BG392" t="s">
        <v>74</v>
      </c>
      <c r="BH392" t="s">
        <v>74</v>
      </c>
      <c r="BI392">
        <v>15</v>
      </c>
      <c r="BJ392" t="s">
        <v>3631</v>
      </c>
      <c r="BK392" t="s">
        <v>96</v>
      </c>
      <c r="BL392" t="s">
        <v>3632</v>
      </c>
      <c r="BM392" t="s">
        <v>5981</v>
      </c>
      <c r="BN392" t="s">
        <v>74</v>
      </c>
      <c r="BO392" t="s">
        <v>74</v>
      </c>
      <c r="BP392" t="s">
        <v>74</v>
      </c>
      <c r="BQ392" t="s">
        <v>74</v>
      </c>
      <c r="BR392" t="s">
        <v>99</v>
      </c>
      <c r="BS392" t="s">
        <v>5982</v>
      </c>
      <c r="BT392" t="str">
        <f>HYPERLINK("https%3A%2F%2Fwww.webofscience.com%2Fwos%2Fwoscc%2Ffull-record%2FWOS:000188531900003","View Full Record in Web of Science")</f>
        <v>View Full Record in Web of Science</v>
      </c>
    </row>
    <row r="393" spans="1:72" x14ac:dyDescent="0.15">
      <c r="A393" t="s">
        <v>3934</v>
      </c>
      <c r="B393" t="s">
        <v>5983</v>
      </c>
      <c r="C393" t="s">
        <v>74</v>
      </c>
      <c r="D393" t="s">
        <v>5984</v>
      </c>
      <c r="E393" t="s">
        <v>74</v>
      </c>
      <c r="F393" t="s">
        <v>5983</v>
      </c>
      <c r="G393" t="s">
        <v>74</v>
      </c>
      <c r="H393" t="s">
        <v>74</v>
      </c>
      <c r="I393" t="s">
        <v>5985</v>
      </c>
      <c r="J393" t="s">
        <v>5986</v>
      </c>
      <c r="K393" t="s">
        <v>74</v>
      </c>
      <c r="L393" t="s">
        <v>74</v>
      </c>
      <c r="M393" t="s">
        <v>77</v>
      </c>
      <c r="N393" t="s">
        <v>3940</v>
      </c>
      <c r="O393" t="s">
        <v>5987</v>
      </c>
      <c r="P393" t="s">
        <v>5988</v>
      </c>
      <c r="Q393" t="s">
        <v>5989</v>
      </c>
      <c r="R393" t="s">
        <v>74</v>
      </c>
      <c r="S393" t="s">
        <v>74</v>
      </c>
      <c r="T393" t="s">
        <v>74</v>
      </c>
      <c r="U393" t="s">
        <v>5990</v>
      </c>
      <c r="V393" t="s">
        <v>5991</v>
      </c>
      <c r="W393" t="s">
        <v>5992</v>
      </c>
      <c r="X393" t="s">
        <v>5993</v>
      </c>
      <c r="Y393" t="s">
        <v>5994</v>
      </c>
      <c r="Z393" t="s">
        <v>5995</v>
      </c>
      <c r="AA393" t="s">
        <v>5996</v>
      </c>
      <c r="AB393" t="s">
        <v>5997</v>
      </c>
      <c r="AC393" t="s">
        <v>74</v>
      </c>
      <c r="AD393" t="s">
        <v>74</v>
      </c>
      <c r="AE393" t="s">
        <v>74</v>
      </c>
      <c r="AF393" t="s">
        <v>74</v>
      </c>
      <c r="AG393">
        <v>174</v>
      </c>
      <c r="AH393">
        <v>36</v>
      </c>
      <c r="AI393">
        <v>46</v>
      </c>
      <c r="AJ393">
        <v>0</v>
      </c>
      <c r="AK393">
        <v>15</v>
      </c>
      <c r="AL393" t="s">
        <v>5600</v>
      </c>
      <c r="AM393" t="s">
        <v>5601</v>
      </c>
      <c r="AN393" t="s">
        <v>5602</v>
      </c>
      <c r="AO393" t="s">
        <v>74</v>
      </c>
      <c r="AP393" t="s">
        <v>74</v>
      </c>
      <c r="AQ393" t="s">
        <v>5998</v>
      </c>
      <c r="AR393" t="s">
        <v>74</v>
      </c>
      <c r="AS393" t="s">
        <v>74</v>
      </c>
      <c r="AT393" t="s">
        <v>74</v>
      </c>
      <c r="AU393">
        <v>2004</v>
      </c>
      <c r="AV393" t="s">
        <v>74</v>
      </c>
      <c r="AW393" t="s">
        <v>74</v>
      </c>
      <c r="AX393" t="s">
        <v>74</v>
      </c>
      <c r="AY393" t="s">
        <v>74</v>
      </c>
      <c r="AZ393" t="s">
        <v>74</v>
      </c>
      <c r="BA393" t="s">
        <v>74</v>
      </c>
      <c r="BB393">
        <v>127</v>
      </c>
      <c r="BC393">
        <v>164</v>
      </c>
      <c r="BD393" t="s">
        <v>74</v>
      </c>
      <c r="BE393" t="s">
        <v>74</v>
      </c>
      <c r="BF393" t="s">
        <v>74</v>
      </c>
      <c r="BG393" t="s">
        <v>74</v>
      </c>
      <c r="BH393" t="s">
        <v>74</v>
      </c>
      <c r="BI393">
        <v>38</v>
      </c>
      <c r="BJ393" t="s">
        <v>5999</v>
      </c>
      <c r="BK393" t="s">
        <v>3955</v>
      </c>
      <c r="BL393" t="s">
        <v>6000</v>
      </c>
      <c r="BM393" t="s">
        <v>6001</v>
      </c>
      <c r="BN393" t="s">
        <v>74</v>
      </c>
      <c r="BO393" t="s">
        <v>74</v>
      </c>
      <c r="BP393" t="s">
        <v>74</v>
      </c>
      <c r="BQ393" t="s">
        <v>74</v>
      </c>
      <c r="BR393" t="s">
        <v>99</v>
      </c>
      <c r="BS393" t="s">
        <v>6002</v>
      </c>
      <c r="BT393" t="str">
        <f>HYPERLINK("https%3A%2F%2Fwww.webofscience.com%2Fwos%2Fwoscc%2Ffull-record%2FWOS:000223810600006","View Full Record in Web of Science")</f>
        <v>View Full Record in Web of Science</v>
      </c>
    </row>
    <row r="394" spans="1:72" x14ac:dyDescent="0.15">
      <c r="A394" t="s">
        <v>3934</v>
      </c>
      <c r="B394" t="s">
        <v>6003</v>
      </c>
      <c r="C394" t="s">
        <v>74</v>
      </c>
      <c r="D394" t="s">
        <v>5984</v>
      </c>
      <c r="E394" t="s">
        <v>74</v>
      </c>
      <c r="F394" t="s">
        <v>6003</v>
      </c>
      <c r="G394" t="s">
        <v>74</v>
      </c>
      <c r="H394" t="s">
        <v>74</v>
      </c>
      <c r="I394" t="s">
        <v>6004</v>
      </c>
      <c r="J394" t="s">
        <v>5986</v>
      </c>
      <c r="K394" t="s">
        <v>74</v>
      </c>
      <c r="L394" t="s">
        <v>74</v>
      </c>
      <c r="M394" t="s">
        <v>77</v>
      </c>
      <c r="N394" t="s">
        <v>3940</v>
      </c>
      <c r="O394" t="s">
        <v>5987</v>
      </c>
      <c r="P394" t="s">
        <v>5988</v>
      </c>
      <c r="Q394" t="s">
        <v>5989</v>
      </c>
      <c r="R394" t="s">
        <v>74</v>
      </c>
      <c r="S394" t="s">
        <v>74</v>
      </c>
      <c r="T394" t="s">
        <v>74</v>
      </c>
      <c r="U394" t="s">
        <v>6005</v>
      </c>
      <c r="V394" t="s">
        <v>6006</v>
      </c>
      <c r="W394" t="s">
        <v>6007</v>
      </c>
      <c r="X394" t="s">
        <v>6008</v>
      </c>
      <c r="Y394" t="s">
        <v>6009</v>
      </c>
      <c r="Z394" t="s">
        <v>6010</v>
      </c>
      <c r="AA394" t="s">
        <v>6011</v>
      </c>
      <c r="AB394" t="s">
        <v>6012</v>
      </c>
      <c r="AC394" t="s">
        <v>74</v>
      </c>
      <c r="AD394" t="s">
        <v>74</v>
      </c>
      <c r="AE394" t="s">
        <v>74</v>
      </c>
      <c r="AF394" t="s">
        <v>74</v>
      </c>
      <c r="AG394">
        <v>59</v>
      </c>
      <c r="AH394">
        <v>158</v>
      </c>
      <c r="AI394">
        <v>172</v>
      </c>
      <c r="AJ394">
        <v>0</v>
      </c>
      <c r="AK394">
        <v>6</v>
      </c>
      <c r="AL394" t="s">
        <v>5600</v>
      </c>
      <c r="AM394" t="s">
        <v>5601</v>
      </c>
      <c r="AN394" t="s">
        <v>5602</v>
      </c>
      <c r="AO394" t="s">
        <v>74</v>
      </c>
      <c r="AP394" t="s">
        <v>74</v>
      </c>
      <c r="AQ394" t="s">
        <v>5998</v>
      </c>
      <c r="AR394" t="s">
        <v>74</v>
      </c>
      <c r="AS394" t="s">
        <v>74</v>
      </c>
      <c r="AT394" t="s">
        <v>74</v>
      </c>
      <c r="AU394">
        <v>2004</v>
      </c>
      <c r="AV394" t="s">
        <v>74</v>
      </c>
      <c r="AW394" t="s">
        <v>74</v>
      </c>
      <c r="AX394" t="s">
        <v>74</v>
      </c>
      <c r="AY394" t="s">
        <v>74</v>
      </c>
      <c r="AZ394" t="s">
        <v>74</v>
      </c>
      <c r="BA394" t="s">
        <v>74</v>
      </c>
      <c r="BB394">
        <v>403</v>
      </c>
      <c r="BC394">
        <v>428</v>
      </c>
      <c r="BD394" t="s">
        <v>74</v>
      </c>
      <c r="BE394" t="s">
        <v>74</v>
      </c>
      <c r="BF394" t="s">
        <v>74</v>
      </c>
      <c r="BG394" t="s">
        <v>74</v>
      </c>
      <c r="BH394" t="s">
        <v>74</v>
      </c>
      <c r="BI394">
        <v>26</v>
      </c>
      <c r="BJ394" t="s">
        <v>5999</v>
      </c>
      <c r="BK394" t="s">
        <v>3955</v>
      </c>
      <c r="BL394" t="s">
        <v>6000</v>
      </c>
      <c r="BM394" t="s">
        <v>6001</v>
      </c>
      <c r="BN394" t="s">
        <v>74</v>
      </c>
      <c r="BO394" t="s">
        <v>74</v>
      </c>
      <c r="BP394" t="s">
        <v>74</v>
      </c>
      <c r="BQ394" t="s">
        <v>74</v>
      </c>
      <c r="BR394" t="s">
        <v>99</v>
      </c>
      <c r="BS394" t="s">
        <v>6013</v>
      </c>
      <c r="BT394" t="str">
        <f>HYPERLINK("https%3A%2F%2Fwww.webofscience.com%2Fwos%2Fwoscc%2Ffull-record%2FWOS:000223810600015","View Full Record in Web of Science")</f>
        <v>View Full Record in Web of Science</v>
      </c>
    </row>
    <row r="395" spans="1:72" x14ac:dyDescent="0.15">
      <c r="A395" t="s">
        <v>72</v>
      </c>
      <c r="B395" t="s">
        <v>6014</v>
      </c>
      <c r="C395" t="s">
        <v>74</v>
      </c>
      <c r="D395" t="s">
        <v>74</v>
      </c>
      <c r="E395" t="s">
        <v>74</v>
      </c>
      <c r="F395" t="s">
        <v>6014</v>
      </c>
      <c r="G395" t="s">
        <v>74</v>
      </c>
      <c r="H395" t="s">
        <v>74</v>
      </c>
      <c r="I395" t="s">
        <v>6015</v>
      </c>
      <c r="J395" t="s">
        <v>1176</v>
      </c>
      <c r="K395" t="s">
        <v>74</v>
      </c>
      <c r="L395" t="s">
        <v>74</v>
      </c>
      <c r="M395" t="s">
        <v>77</v>
      </c>
      <c r="N395" t="s">
        <v>78</v>
      </c>
      <c r="O395" t="s">
        <v>74</v>
      </c>
      <c r="P395" t="s">
        <v>74</v>
      </c>
      <c r="Q395" t="s">
        <v>74</v>
      </c>
      <c r="R395" t="s">
        <v>74</v>
      </c>
      <c r="S395" t="s">
        <v>74</v>
      </c>
      <c r="T395" t="s">
        <v>6016</v>
      </c>
      <c r="U395" t="s">
        <v>6017</v>
      </c>
      <c r="V395" t="s">
        <v>6018</v>
      </c>
      <c r="W395" t="s">
        <v>6019</v>
      </c>
      <c r="X395" t="s">
        <v>6020</v>
      </c>
      <c r="Y395" t="s">
        <v>6021</v>
      </c>
      <c r="Z395" t="s">
        <v>6022</v>
      </c>
      <c r="AA395" t="s">
        <v>6023</v>
      </c>
      <c r="AB395" t="s">
        <v>6024</v>
      </c>
      <c r="AC395" t="s">
        <v>74</v>
      </c>
      <c r="AD395" t="s">
        <v>74</v>
      </c>
      <c r="AE395" t="s">
        <v>74</v>
      </c>
      <c r="AF395" t="s">
        <v>74</v>
      </c>
      <c r="AG395">
        <v>51</v>
      </c>
      <c r="AH395">
        <v>100</v>
      </c>
      <c r="AI395">
        <v>126</v>
      </c>
      <c r="AJ395">
        <v>4</v>
      </c>
      <c r="AK395">
        <v>37</v>
      </c>
      <c r="AL395" t="s">
        <v>235</v>
      </c>
      <c r="AM395" t="s">
        <v>87</v>
      </c>
      <c r="AN395" t="s">
        <v>1203</v>
      </c>
      <c r="AO395" t="s">
        <v>1184</v>
      </c>
      <c r="AP395" t="s">
        <v>1185</v>
      </c>
      <c r="AQ395" t="s">
        <v>74</v>
      </c>
      <c r="AR395" t="s">
        <v>1186</v>
      </c>
      <c r="AS395" t="s">
        <v>1187</v>
      </c>
      <c r="AT395" t="s">
        <v>4117</v>
      </c>
      <c r="AU395">
        <v>2004</v>
      </c>
      <c r="AV395">
        <v>137</v>
      </c>
      <c r="AW395">
        <v>1</v>
      </c>
      <c r="AX395" t="s">
        <v>74</v>
      </c>
      <c r="AY395" t="s">
        <v>74</v>
      </c>
      <c r="AZ395" t="s">
        <v>74</v>
      </c>
      <c r="BA395" t="s">
        <v>74</v>
      </c>
      <c r="BB395">
        <v>49</v>
      </c>
      <c r="BC395">
        <v>63</v>
      </c>
      <c r="BD395" t="s">
        <v>74</v>
      </c>
      <c r="BE395" t="s">
        <v>6025</v>
      </c>
      <c r="BF395" t="str">
        <f>HYPERLINK("http://dx.doi.org/10.1016/j.cbpc.2003.10.002","http://dx.doi.org/10.1016/j.cbpc.2003.10.002")</f>
        <v>http://dx.doi.org/10.1016/j.cbpc.2003.10.002</v>
      </c>
      <c r="BG395" t="s">
        <v>74</v>
      </c>
      <c r="BH395" t="s">
        <v>74</v>
      </c>
      <c r="BI395">
        <v>15</v>
      </c>
      <c r="BJ395" t="s">
        <v>1189</v>
      </c>
      <c r="BK395" t="s">
        <v>96</v>
      </c>
      <c r="BL395" t="s">
        <v>1189</v>
      </c>
      <c r="BM395" t="s">
        <v>6026</v>
      </c>
      <c r="BN395">
        <v>14698910</v>
      </c>
      <c r="BO395" t="s">
        <v>74</v>
      </c>
      <c r="BP395" t="s">
        <v>74</v>
      </c>
      <c r="BQ395" t="s">
        <v>74</v>
      </c>
      <c r="BR395" t="s">
        <v>99</v>
      </c>
      <c r="BS395" t="s">
        <v>6027</v>
      </c>
      <c r="BT395" t="str">
        <f>HYPERLINK("https%3A%2F%2Fwww.webofscience.com%2Fwos%2Fwoscc%2Ffull-record%2FWOS:000188058800005","View Full Record in Web of Science")</f>
        <v>View Full Record in Web of Science</v>
      </c>
    </row>
    <row r="396" spans="1:72" x14ac:dyDescent="0.15">
      <c r="A396" t="s">
        <v>72</v>
      </c>
      <c r="B396" t="s">
        <v>6028</v>
      </c>
      <c r="C396" t="s">
        <v>74</v>
      </c>
      <c r="D396" t="s">
        <v>74</v>
      </c>
      <c r="E396" t="s">
        <v>74</v>
      </c>
      <c r="F396" t="s">
        <v>6028</v>
      </c>
      <c r="G396" t="s">
        <v>74</v>
      </c>
      <c r="H396" t="s">
        <v>74</v>
      </c>
      <c r="I396" t="s">
        <v>6029</v>
      </c>
      <c r="J396" t="s">
        <v>6030</v>
      </c>
      <c r="K396" t="s">
        <v>74</v>
      </c>
      <c r="L396" t="s">
        <v>74</v>
      </c>
      <c r="M396" t="s">
        <v>77</v>
      </c>
      <c r="N396" t="s">
        <v>78</v>
      </c>
      <c r="O396" t="s">
        <v>74</v>
      </c>
      <c r="P396" t="s">
        <v>74</v>
      </c>
      <c r="Q396" t="s">
        <v>74</v>
      </c>
      <c r="R396" t="s">
        <v>74</v>
      </c>
      <c r="S396" t="s">
        <v>74</v>
      </c>
      <c r="T396" t="s">
        <v>74</v>
      </c>
      <c r="U396" t="s">
        <v>74</v>
      </c>
      <c r="V396" t="s">
        <v>6031</v>
      </c>
      <c r="W396" t="s">
        <v>6032</v>
      </c>
      <c r="X396" t="s">
        <v>6033</v>
      </c>
      <c r="Y396" t="s">
        <v>6034</v>
      </c>
      <c r="Z396" t="s">
        <v>74</v>
      </c>
      <c r="AA396" t="s">
        <v>74</v>
      </c>
      <c r="AB396" t="s">
        <v>74</v>
      </c>
      <c r="AC396" t="s">
        <v>74</v>
      </c>
      <c r="AD396" t="s">
        <v>74</v>
      </c>
      <c r="AE396" t="s">
        <v>74</v>
      </c>
      <c r="AF396" t="s">
        <v>74</v>
      </c>
      <c r="AG396">
        <v>6</v>
      </c>
      <c r="AH396">
        <v>0</v>
      </c>
      <c r="AI396">
        <v>0</v>
      </c>
      <c r="AJ396">
        <v>0</v>
      </c>
      <c r="AK396">
        <v>1</v>
      </c>
      <c r="AL396" t="s">
        <v>6035</v>
      </c>
      <c r="AM396" t="s">
        <v>87</v>
      </c>
      <c r="AN396" t="s">
        <v>6036</v>
      </c>
      <c r="AO396" t="s">
        <v>6037</v>
      </c>
      <c r="AP396" t="s">
        <v>74</v>
      </c>
      <c r="AQ396" t="s">
        <v>74</v>
      </c>
      <c r="AR396" t="s">
        <v>6038</v>
      </c>
      <c r="AS396" t="s">
        <v>6039</v>
      </c>
      <c r="AT396" t="s">
        <v>5979</v>
      </c>
      <c r="AU396">
        <v>2004</v>
      </c>
      <c r="AV396">
        <v>42</v>
      </c>
      <c r="AW396">
        <v>1</v>
      </c>
      <c r="AX396" t="s">
        <v>74</v>
      </c>
      <c r="AY396" t="s">
        <v>74</v>
      </c>
      <c r="AZ396" t="s">
        <v>74</v>
      </c>
      <c r="BA396" t="s">
        <v>74</v>
      </c>
      <c r="BB396">
        <v>8</v>
      </c>
      <c r="BC396">
        <v>12</v>
      </c>
      <c r="BD396" t="s">
        <v>74</v>
      </c>
      <c r="BE396" t="s">
        <v>6040</v>
      </c>
      <c r="BF396" t="str">
        <f>HYPERLINK("http://dx.doi.org/10.1023/B:COSM.0000017555.24463.86","http://dx.doi.org/10.1023/B:COSM.0000017555.24463.86")</f>
        <v>http://dx.doi.org/10.1023/B:COSM.0000017555.24463.86</v>
      </c>
      <c r="BG396" t="s">
        <v>74</v>
      </c>
      <c r="BH396" t="s">
        <v>74</v>
      </c>
      <c r="BI396">
        <v>5</v>
      </c>
      <c r="BJ396" t="s">
        <v>6041</v>
      </c>
      <c r="BK396" t="s">
        <v>96</v>
      </c>
      <c r="BL396" t="s">
        <v>6042</v>
      </c>
      <c r="BM396" t="s">
        <v>6043</v>
      </c>
      <c r="BN396" t="s">
        <v>74</v>
      </c>
      <c r="BO396" t="s">
        <v>74</v>
      </c>
      <c r="BP396" t="s">
        <v>74</v>
      </c>
      <c r="BQ396" t="s">
        <v>74</v>
      </c>
      <c r="BR396" t="s">
        <v>99</v>
      </c>
      <c r="BS396" t="s">
        <v>6044</v>
      </c>
      <c r="BT396" t="str">
        <f>HYPERLINK("https%3A%2F%2Fwww.webofscience.com%2Fwos%2Fwoscc%2Ffull-record%2FWOS:000220337300002","View Full Record in Web of Science")</f>
        <v>View Full Record in Web of Science</v>
      </c>
    </row>
    <row r="397" spans="1:72" x14ac:dyDescent="0.15">
      <c r="A397" t="s">
        <v>72</v>
      </c>
      <c r="B397" t="s">
        <v>6045</v>
      </c>
      <c r="C397" t="s">
        <v>74</v>
      </c>
      <c r="D397" t="s">
        <v>74</v>
      </c>
      <c r="E397" t="s">
        <v>74</v>
      </c>
      <c r="F397" t="s">
        <v>6045</v>
      </c>
      <c r="G397" t="s">
        <v>74</v>
      </c>
      <c r="H397" t="s">
        <v>74</v>
      </c>
      <c r="I397" t="s">
        <v>6046</v>
      </c>
      <c r="J397" t="s">
        <v>6047</v>
      </c>
      <c r="K397" t="s">
        <v>74</v>
      </c>
      <c r="L397" t="s">
        <v>74</v>
      </c>
      <c r="M397" t="s">
        <v>77</v>
      </c>
      <c r="N397" t="s">
        <v>52</v>
      </c>
      <c r="O397" t="s">
        <v>6048</v>
      </c>
      <c r="P397" t="s">
        <v>6049</v>
      </c>
      <c r="Q397" t="s">
        <v>6050</v>
      </c>
      <c r="R397" t="s">
        <v>74</v>
      </c>
      <c r="S397" t="s">
        <v>74</v>
      </c>
      <c r="T397" t="s">
        <v>74</v>
      </c>
      <c r="U397" t="s">
        <v>74</v>
      </c>
      <c r="V397" t="s">
        <v>74</v>
      </c>
      <c r="W397" t="s">
        <v>6051</v>
      </c>
      <c r="X397" t="s">
        <v>6052</v>
      </c>
      <c r="Y397" t="s">
        <v>74</v>
      </c>
      <c r="Z397" t="s">
        <v>74</v>
      </c>
      <c r="AA397" t="s">
        <v>6053</v>
      </c>
      <c r="AB397" t="s">
        <v>6054</v>
      </c>
      <c r="AC397" t="s">
        <v>74</v>
      </c>
      <c r="AD397" t="s">
        <v>74</v>
      </c>
      <c r="AE397" t="s">
        <v>74</v>
      </c>
      <c r="AF397" t="s">
        <v>74</v>
      </c>
      <c r="AG397">
        <v>0</v>
      </c>
      <c r="AH397">
        <v>0</v>
      </c>
      <c r="AI397">
        <v>0</v>
      </c>
      <c r="AJ397">
        <v>0</v>
      </c>
      <c r="AK397">
        <v>0</v>
      </c>
      <c r="AL397" t="s">
        <v>6055</v>
      </c>
      <c r="AM397" t="s">
        <v>1109</v>
      </c>
      <c r="AN397" t="s">
        <v>6056</v>
      </c>
      <c r="AO397" t="s">
        <v>6057</v>
      </c>
      <c r="AP397" t="s">
        <v>74</v>
      </c>
      <c r="AQ397" t="s">
        <v>74</v>
      </c>
      <c r="AR397" t="s">
        <v>6058</v>
      </c>
      <c r="AS397" t="s">
        <v>6059</v>
      </c>
      <c r="AT397" t="s">
        <v>74</v>
      </c>
      <c r="AU397">
        <v>2004</v>
      </c>
      <c r="AV397">
        <v>106</v>
      </c>
      <c r="AW397">
        <v>1</v>
      </c>
      <c r="AX397" t="s">
        <v>74</v>
      </c>
      <c r="AY397" t="s">
        <v>74</v>
      </c>
      <c r="AZ397" t="s">
        <v>74</v>
      </c>
      <c r="BA397" t="s">
        <v>6060</v>
      </c>
      <c r="BB397">
        <v>20</v>
      </c>
      <c r="BC397">
        <v>20</v>
      </c>
      <c r="BD397" t="s">
        <v>74</v>
      </c>
      <c r="BE397" t="s">
        <v>74</v>
      </c>
      <c r="BF397" t="s">
        <v>74</v>
      </c>
      <c r="BG397" t="s">
        <v>74</v>
      </c>
      <c r="BH397" t="s">
        <v>74</v>
      </c>
      <c r="BI397">
        <v>1</v>
      </c>
      <c r="BJ397" t="s">
        <v>6061</v>
      </c>
      <c r="BK397" t="s">
        <v>1116</v>
      </c>
      <c r="BL397" t="s">
        <v>6061</v>
      </c>
      <c r="BM397" t="s">
        <v>6062</v>
      </c>
      <c r="BN397" t="s">
        <v>74</v>
      </c>
      <c r="BO397" t="s">
        <v>74</v>
      </c>
      <c r="BP397" t="s">
        <v>74</v>
      </c>
      <c r="BQ397" t="s">
        <v>74</v>
      </c>
      <c r="BR397" t="s">
        <v>99</v>
      </c>
      <c r="BS397" t="s">
        <v>6063</v>
      </c>
      <c r="BT397" t="str">
        <f>HYPERLINK("https%3A%2F%2Fwww.webofscience.com%2Fwos%2Fwoscc%2Ffull-record%2FWOS:000224243600050","View Full Record in Web of Science")</f>
        <v>View Full Record in Web of Science</v>
      </c>
    </row>
    <row r="398" spans="1:72" x14ac:dyDescent="0.15">
      <c r="A398" t="s">
        <v>72</v>
      </c>
      <c r="B398" t="s">
        <v>6064</v>
      </c>
      <c r="C398" t="s">
        <v>74</v>
      </c>
      <c r="D398" t="s">
        <v>74</v>
      </c>
      <c r="E398" t="s">
        <v>74</v>
      </c>
      <c r="F398" t="s">
        <v>6064</v>
      </c>
      <c r="G398" t="s">
        <v>74</v>
      </c>
      <c r="H398" t="s">
        <v>74</v>
      </c>
      <c r="I398" t="s">
        <v>6065</v>
      </c>
      <c r="J398" t="s">
        <v>2872</v>
      </c>
      <c r="K398" t="s">
        <v>74</v>
      </c>
      <c r="L398" t="s">
        <v>74</v>
      </c>
      <c r="M398" t="s">
        <v>77</v>
      </c>
      <c r="N398" t="s">
        <v>78</v>
      </c>
      <c r="O398" t="s">
        <v>74</v>
      </c>
      <c r="P398" t="s">
        <v>74</v>
      </c>
      <c r="Q398" t="s">
        <v>74</v>
      </c>
      <c r="R398" t="s">
        <v>74</v>
      </c>
      <c r="S398" t="s">
        <v>74</v>
      </c>
      <c r="T398" t="s">
        <v>6066</v>
      </c>
      <c r="U398" t="s">
        <v>6067</v>
      </c>
      <c r="V398" t="s">
        <v>6068</v>
      </c>
      <c r="W398" t="s">
        <v>6069</v>
      </c>
      <c r="X398" t="s">
        <v>6070</v>
      </c>
      <c r="Y398" t="s">
        <v>6071</v>
      </c>
      <c r="Z398" t="s">
        <v>6072</v>
      </c>
      <c r="AA398" t="s">
        <v>74</v>
      </c>
      <c r="AB398" t="s">
        <v>74</v>
      </c>
      <c r="AC398" t="s">
        <v>74</v>
      </c>
      <c r="AD398" t="s">
        <v>74</v>
      </c>
      <c r="AE398" t="s">
        <v>74</v>
      </c>
      <c r="AF398" t="s">
        <v>74</v>
      </c>
      <c r="AG398">
        <v>61</v>
      </c>
      <c r="AH398">
        <v>56</v>
      </c>
      <c r="AI398">
        <v>64</v>
      </c>
      <c r="AJ398">
        <v>1</v>
      </c>
      <c r="AK398">
        <v>50</v>
      </c>
      <c r="AL398" t="s">
        <v>213</v>
      </c>
      <c r="AM398" t="s">
        <v>214</v>
      </c>
      <c r="AN398" t="s">
        <v>215</v>
      </c>
      <c r="AO398" t="s">
        <v>2882</v>
      </c>
      <c r="AP398" t="s">
        <v>74</v>
      </c>
      <c r="AQ398" t="s">
        <v>74</v>
      </c>
      <c r="AR398" t="s">
        <v>2884</v>
      </c>
      <c r="AS398" t="s">
        <v>2885</v>
      </c>
      <c r="AT398" t="s">
        <v>4117</v>
      </c>
      <c r="AU398">
        <v>2004</v>
      </c>
      <c r="AV398">
        <v>51</v>
      </c>
      <c r="AW398">
        <v>1</v>
      </c>
      <c r="AX398" t="s">
        <v>74</v>
      </c>
      <c r="AY398" t="s">
        <v>74</v>
      </c>
      <c r="AZ398" t="s">
        <v>74</v>
      </c>
      <c r="BA398" t="s">
        <v>74</v>
      </c>
      <c r="BB398">
        <v>17</v>
      </c>
      <c r="BC398">
        <v>31</v>
      </c>
      <c r="BD398" t="s">
        <v>74</v>
      </c>
      <c r="BE398" t="s">
        <v>6073</v>
      </c>
      <c r="BF398" t="str">
        <f>HYPERLINK("http://dx.doi.org/10.1016/j.dsr.2003.09.009","http://dx.doi.org/10.1016/j.dsr.2003.09.009")</f>
        <v>http://dx.doi.org/10.1016/j.dsr.2003.09.009</v>
      </c>
      <c r="BG398" t="s">
        <v>74</v>
      </c>
      <c r="BH398" t="s">
        <v>74</v>
      </c>
      <c r="BI398">
        <v>15</v>
      </c>
      <c r="BJ398" t="s">
        <v>477</v>
      </c>
      <c r="BK398" t="s">
        <v>96</v>
      </c>
      <c r="BL398" t="s">
        <v>477</v>
      </c>
      <c r="BM398" t="s">
        <v>6074</v>
      </c>
      <c r="BN398" t="s">
        <v>74</v>
      </c>
      <c r="BO398" t="s">
        <v>74</v>
      </c>
      <c r="BP398" t="s">
        <v>74</v>
      </c>
      <c r="BQ398" t="s">
        <v>74</v>
      </c>
      <c r="BR398" t="s">
        <v>99</v>
      </c>
      <c r="BS398" t="s">
        <v>6075</v>
      </c>
      <c r="BT398" t="str">
        <f>HYPERLINK("https%3A%2F%2Fwww.webofscience.com%2Fwos%2Fwoscc%2Ffull-record%2FWOS:000225375300002","View Full Record in Web of Science")</f>
        <v>View Full Record in Web of Science</v>
      </c>
    </row>
    <row r="399" spans="1:72" x14ac:dyDescent="0.15">
      <c r="A399" t="s">
        <v>72</v>
      </c>
      <c r="B399" t="s">
        <v>6076</v>
      </c>
      <c r="C399" t="s">
        <v>74</v>
      </c>
      <c r="D399" t="s">
        <v>74</v>
      </c>
      <c r="E399" t="s">
        <v>74</v>
      </c>
      <c r="F399" t="s">
        <v>6076</v>
      </c>
      <c r="G399" t="s">
        <v>74</v>
      </c>
      <c r="H399" t="s">
        <v>74</v>
      </c>
      <c r="I399" t="s">
        <v>6077</v>
      </c>
      <c r="J399" t="s">
        <v>6078</v>
      </c>
      <c r="K399" t="s">
        <v>74</v>
      </c>
      <c r="L399" t="s">
        <v>74</v>
      </c>
      <c r="M399" t="s">
        <v>77</v>
      </c>
      <c r="N399" t="s">
        <v>78</v>
      </c>
      <c r="O399" t="s">
        <v>74</v>
      </c>
      <c r="P399" t="s">
        <v>74</v>
      </c>
      <c r="Q399" t="s">
        <v>74</v>
      </c>
      <c r="R399" t="s">
        <v>74</v>
      </c>
      <c r="S399" t="s">
        <v>74</v>
      </c>
      <c r="T399" t="s">
        <v>74</v>
      </c>
      <c r="U399" t="s">
        <v>6079</v>
      </c>
      <c r="V399" t="s">
        <v>6080</v>
      </c>
      <c r="W399" t="s">
        <v>81</v>
      </c>
      <c r="X399" t="s">
        <v>82</v>
      </c>
      <c r="Y399" t="s">
        <v>6081</v>
      </c>
      <c r="Z399" t="s">
        <v>6082</v>
      </c>
      <c r="AA399" t="s">
        <v>74</v>
      </c>
      <c r="AB399" t="s">
        <v>74</v>
      </c>
      <c r="AC399" t="s">
        <v>74</v>
      </c>
      <c r="AD399" t="s">
        <v>74</v>
      </c>
      <c r="AE399" t="s">
        <v>74</v>
      </c>
      <c r="AF399" t="s">
        <v>74</v>
      </c>
      <c r="AG399">
        <v>51</v>
      </c>
      <c r="AH399">
        <v>93</v>
      </c>
      <c r="AI399">
        <v>100</v>
      </c>
      <c r="AJ399">
        <v>0</v>
      </c>
      <c r="AK399">
        <v>10</v>
      </c>
      <c r="AL399" t="s">
        <v>213</v>
      </c>
      <c r="AM399" t="s">
        <v>214</v>
      </c>
      <c r="AN399" t="s">
        <v>215</v>
      </c>
      <c r="AO399" t="s">
        <v>6083</v>
      </c>
      <c r="AP399" t="s">
        <v>6084</v>
      </c>
      <c r="AQ399" t="s">
        <v>74</v>
      </c>
      <c r="AR399" t="s">
        <v>6085</v>
      </c>
      <c r="AS399" t="s">
        <v>6086</v>
      </c>
      <c r="AT399" t="s">
        <v>74</v>
      </c>
      <c r="AU399">
        <v>2004</v>
      </c>
      <c r="AV399">
        <v>51</v>
      </c>
      <c r="AW399" t="s">
        <v>3766</v>
      </c>
      <c r="AX399" t="s">
        <v>74</v>
      </c>
      <c r="AY399" t="s">
        <v>74</v>
      </c>
      <c r="AZ399" t="s">
        <v>74</v>
      </c>
      <c r="BA399" t="s">
        <v>74</v>
      </c>
      <c r="BB399">
        <v>99</v>
      </c>
      <c r="BC399">
        <v>116</v>
      </c>
      <c r="BD399" t="s">
        <v>74</v>
      </c>
      <c r="BE399" t="s">
        <v>6087</v>
      </c>
      <c r="BF399" t="str">
        <f>HYPERLINK("http://dx.doi.org/10.1016/j.dsr2.2003.04.002","http://dx.doi.org/10.1016/j.dsr2.2003.04.002")</f>
        <v>http://dx.doi.org/10.1016/j.dsr2.2003.04.002</v>
      </c>
      <c r="BG399" t="s">
        <v>74</v>
      </c>
      <c r="BH399" t="s">
        <v>74</v>
      </c>
      <c r="BI399">
        <v>18</v>
      </c>
      <c r="BJ399" t="s">
        <v>477</v>
      </c>
      <c r="BK399" t="s">
        <v>96</v>
      </c>
      <c r="BL399" t="s">
        <v>477</v>
      </c>
      <c r="BM399" t="s">
        <v>6088</v>
      </c>
      <c r="BN399" t="s">
        <v>74</v>
      </c>
      <c r="BO399" t="s">
        <v>74</v>
      </c>
      <c r="BP399" t="s">
        <v>74</v>
      </c>
      <c r="BQ399" t="s">
        <v>74</v>
      </c>
      <c r="BR399" t="s">
        <v>99</v>
      </c>
      <c r="BS399" t="s">
        <v>6089</v>
      </c>
      <c r="BT399" t="str">
        <f>HYPERLINK("https%3A%2F%2Fwww.webofscience.com%2Fwos%2Fwoscc%2Ffull-record%2FWOS:000222170100007","View Full Record in Web of Science")</f>
        <v>View Full Record in Web of Science</v>
      </c>
    </row>
    <row r="400" spans="1:72" x14ac:dyDescent="0.15">
      <c r="A400" t="s">
        <v>72</v>
      </c>
      <c r="B400" t="s">
        <v>6090</v>
      </c>
      <c r="C400" t="s">
        <v>74</v>
      </c>
      <c r="D400" t="s">
        <v>74</v>
      </c>
      <c r="E400" t="s">
        <v>74</v>
      </c>
      <c r="F400" t="s">
        <v>6090</v>
      </c>
      <c r="G400" t="s">
        <v>74</v>
      </c>
      <c r="H400" t="s">
        <v>74</v>
      </c>
      <c r="I400" t="s">
        <v>6091</v>
      </c>
      <c r="J400" t="s">
        <v>6078</v>
      </c>
      <c r="K400" t="s">
        <v>74</v>
      </c>
      <c r="L400" t="s">
        <v>74</v>
      </c>
      <c r="M400" t="s">
        <v>77</v>
      </c>
      <c r="N400" t="s">
        <v>78</v>
      </c>
      <c r="O400" t="s">
        <v>74</v>
      </c>
      <c r="P400" t="s">
        <v>74</v>
      </c>
      <c r="Q400" t="s">
        <v>74</v>
      </c>
      <c r="R400" t="s">
        <v>74</v>
      </c>
      <c r="S400" t="s">
        <v>74</v>
      </c>
      <c r="T400" t="s">
        <v>74</v>
      </c>
      <c r="U400" t="s">
        <v>6092</v>
      </c>
      <c r="V400" t="s">
        <v>6093</v>
      </c>
      <c r="W400" t="s">
        <v>6094</v>
      </c>
      <c r="X400" t="s">
        <v>6095</v>
      </c>
      <c r="Y400" t="s">
        <v>6096</v>
      </c>
      <c r="Z400" t="s">
        <v>6097</v>
      </c>
      <c r="AA400" t="s">
        <v>74</v>
      </c>
      <c r="AB400" t="s">
        <v>74</v>
      </c>
      <c r="AC400" t="s">
        <v>74</v>
      </c>
      <c r="AD400" t="s">
        <v>74</v>
      </c>
      <c r="AE400" t="s">
        <v>74</v>
      </c>
      <c r="AF400" t="s">
        <v>74</v>
      </c>
      <c r="AG400">
        <v>62</v>
      </c>
      <c r="AH400">
        <v>111</v>
      </c>
      <c r="AI400">
        <v>116</v>
      </c>
      <c r="AJ400">
        <v>0</v>
      </c>
      <c r="AK400">
        <v>15</v>
      </c>
      <c r="AL400" t="s">
        <v>213</v>
      </c>
      <c r="AM400" t="s">
        <v>214</v>
      </c>
      <c r="AN400" t="s">
        <v>215</v>
      </c>
      <c r="AO400" t="s">
        <v>6083</v>
      </c>
      <c r="AP400" t="s">
        <v>6084</v>
      </c>
      <c r="AQ400" t="s">
        <v>74</v>
      </c>
      <c r="AR400" t="s">
        <v>6085</v>
      </c>
      <c r="AS400" t="s">
        <v>6086</v>
      </c>
      <c r="AT400" t="s">
        <v>74</v>
      </c>
      <c r="AU400">
        <v>2004</v>
      </c>
      <c r="AV400">
        <v>51</v>
      </c>
      <c r="AW400" t="s">
        <v>6098</v>
      </c>
      <c r="AX400" t="s">
        <v>74</v>
      </c>
      <c r="AY400" t="s">
        <v>74</v>
      </c>
      <c r="AZ400" t="s">
        <v>74</v>
      </c>
      <c r="BA400" t="s">
        <v>74</v>
      </c>
      <c r="BB400">
        <v>513</v>
      </c>
      <c r="BC400">
        <v>535</v>
      </c>
      <c r="BD400" t="s">
        <v>74</v>
      </c>
      <c r="BE400" t="s">
        <v>6099</v>
      </c>
      <c r="BF400" t="str">
        <f>HYPERLINK("http://dx.doi.org/10.1016/j.dsr2.2004.05.001","http://dx.doi.org/10.1016/j.dsr2.2004.05.001")</f>
        <v>http://dx.doi.org/10.1016/j.dsr2.2004.05.001</v>
      </c>
      <c r="BG400" t="s">
        <v>74</v>
      </c>
      <c r="BH400" t="s">
        <v>74</v>
      </c>
      <c r="BI400">
        <v>23</v>
      </c>
      <c r="BJ400" t="s">
        <v>477</v>
      </c>
      <c r="BK400" t="s">
        <v>96</v>
      </c>
      <c r="BL400" t="s">
        <v>477</v>
      </c>
      <c r="BM400" t="s">
        <v>6100</v>
      </c>
      <c r="BN400" t="s">
        <v>74</v>
      </c>
      <c r="BO400" t="s">
        <v>74</v>
      </c>
      <c r="BP400" t="s">
        <v>74</v>
      </c>
      <c r="BQ400" t="s">
        <v>74</v>
      </c>
      <c r="BR400" t="s">
        <v>99</v>
      </c>
      <c r="BS400" t="s">
        <v>6101</v>
      </c>
      <c r="BT400" t="str">
        <f>HYPERLINK("https%3A%2F%2Fwww.webofscience.com%2Fwos%2Fwoscc%2Ffull-record%2FWOS:000224267700002","View Full Record in Web of Science")</f>
        <v>View Full Record in Web of Science</v>
      </c>
    </row>
    <row r="401" spans="1:72" x14ac:dyDescent="0.15">
      <c r="A401" t="s">
        <v>72</v>
      </c>
      <c r="B401" t="s">
        <v>6102</v>
      </c>
      <c r="C401" t="s">
        <v>74</v>
      </c>
      <c r="D401" t="s">
        <v>74</v>
      </c>
      <c r="E401" t="s">
        <v>74</v>
      </c>
      <c r="F401" t="s">
        <v>6102</v>
      </c>
      <c r="G401" t="s">
        <v>74</v>
      </c>
      <c r="H401" t="s">
        <v>74</v>
      </c>
      <c r="I401" t="s">
        <v>6103</v>
      </c>
      <c r="J401" t="s">
        <v>6078</v>
      </c>
      <c r="K401" t="s">
        <v>74</v>
      </c>
      <c r="L401" t="s">
        <v>74</v>
      </c>
      <c r="M401" t="s">
        <v>77</v>
      </c>
      <c r="N401" t="s">
        <v>822</v>
      </c>
      <c r="O401" t="s">
        <v>74</v>
      </c>
      <c r="P401" t="s">
        <v>74</v>
      </c>
      <c r="Q401" t="s">
        <v>74</v>
      </c>
      <c r="R401" t="s">
        <v>74</v>
      </c>
      <c r="S401" t="s">
        <v>74</v>
      </c>
      <c r="T401" t="s">
        <v>74</v>
      </c>
      <c r="U401" t="s">
        <v>6104</v>
      </c>
      <c r="V401" t="s">
        <v>6105</v>
      </c>
      <c r="W401" t="s">
        <v>6106</v>
      </c>
      <c r="X401" t="s">
        <v>6107</v>
      </c>
      <c r="Y401" t="s">
        <v>6108</v>
      </c>
      <c r="Z401" t="s">
        <v>6109</v>
      </c>
      <c r="AA401" t="s">
        <v>74</v>
      </c>
      <c r="AB401" t="s">
        <v>74</v>
      </c>
      <c r="AC401" t="s">
        <v>74</v>
      </c>
      <c r="AD401" t="s">
        <v>74</v>
      </c>
      <c r="AE401" t="s">
        <v>74</v>
      </c>
      <c r="AF401" t="s">
        <v>74</v>
      </c>
      <c r="AG401">
        <v>21</v>
      </c>
      <c r="AH401">
        <v>42</v>
      </c>
      <c r="AI401">
        <v>48</v>
      </c>
      <c r="AJ401">
        <v>0</v>
      </c>
      <c r="AK401">
        <v>21</v>
      </c>
      <c r="AL401" t="s">
        <v>213</v>
      </c>
      <c r="AM401" t="s">
        <v>214</v>
      </c>
      <c r="AN401" t="s">
        <v>215</v>
      </c>
      <c r="AO401" t="s">
        <v>6083</v>
      </c>
      <c r="AP401" t="s">
        <v>74</v>
      </c>
      <c r="AQ401" t="s">
        <v>74</v>
      </c>
      <c r="AR401" t="s">
        <v>6085</v>
      </c>
      <c r="AS401" t="s">
        <v>6086</v>
      </c>
      <c r="AT401" t="s">
        <v>74</v>
      </c>
      <c r="AU401">
        <v>2004</v>
      </c>
      <c r="AV401">
        <v>51</v>
      </c>
      <c r="AW401" t="s">
        <v>6110</v>
      </c>
      <c r="AX401" t="s">
        <v>74</v>
      </c>
      <c r="AY401" t="s">
        <v>74</v>
      </c>
      <c r="AZ401" t="s">
        <v>74</v>
      </c>
      <c r="BA401" t="s">
        <v>74</v>
      </c>
      <c r="BB401">
        <v>1205</v>
      </c>
      <c r="BC401">
        <v>1213</v>
      </c>
      <c r="BD401" t="s">
        <v>74</v>
      </c>
      <c r="BE401" t="s">
        <v>6111</v>
      </c>
      <c r="BF401" t="str">
        <f>HYPERLINK("http://dx.doi.org/10.1016/j.dsr2.2004.06.010","http://dx.doi.org/10.1016/j.dsr2.2004.06.010")</f>
        <v>http://dx.doi.org/10.1016/j.dsr2.2004.06.010</v>
      </c>
      <c r="BG401" t="s">
        <v>74</v>
      </c>
      <c r="BH401" t="s">
        <v>74</v>
      </c>
      <c r="BI401">
        <v>9</v>
      </c>
      <c r="BJ401" t="s">
        <v>477</v>
      </c>
      <c r="BK401" t="s">
        <v>96</v>
      </c>
      <c r="BL401" t="s">
        <v>477</v>
      </c>
      <c r="BM401" t="s">
        <v>6112</v>
      </c>
      <c r="BN401" t="s">
        <v>74</v>
      </c>
      <c r="BO401" t="s">
        <v>74</v>
      </c>
      <c r="BP401" t="s">
        <v>74</v>
      </c>
      <c r="BQ401" t="s">
        <v>74</v>
      </c>
      <c r="BR401" t="s">
        <v>99</v>
      </c>
      <c r="BS401" t="s">
        <v>6113</v>
      </c>
      <c r="BT401" t="str">
        <f>HYPERLINK("https%3A%2F%2Fwww.webofscience.com%2Fwos%2Fwoscc%2Ffull-record%2FWOS:000225496900001","View Full Record in Web of Science")</f>
        <v>View Full Record in Web of Science</v>
      </c>
    </row>
    <row r="402" spans="1:72" x14ac:dyDescent="0.15">
      <c r="A402" t="s">
        <v>72</v>
      </c>
      <c r="B402" t="s">
        <v>6114</v>
      </c>
      <c r="C402" t="s">
        <v>74</v>
      </c>
      <c r="D402" t="s">
        <v>74</v>
      </c>
      <c r="E402" t="s">
        <v>74</v>
      </c>
      <c r="F402" t="s">
        <v>6114</v>
      </c>
      <c r="G402" t="s">
        <v>74</v>
      </c>
      <c r="H402" t="s">
        <v>74</v>
      </c>
      <c r="I402" t="s">
        <v>6115</v>
      </c>
      <c r="J402" t="s">
        <v>6078</v>
      </c>
      <c r="K402" t="s">
        <v>74</v>
      </c>
      <c r="L402" t="s">
        <v>74</v>
      </c>
      <c r="M402" t="s">
        <v>77</v>
      </c>
      <c r="N402" t="s">
        <v>78</v>
      </c>
      <c r="O402" t="s">
        <v>74</v>
      </c>
      <c r="P402" t="s">
        <v>74</v>
      </c>
      <c r="Q402" t="s">
        <v>74</v>
      </c>
      <c r="R402" t="s">
        <v>74</v>
      </c>
      <c r="S402" t="s">
        <v>74</v>
      </c>
      <c r="T402" t="s">
        <v>74</v>
      </c>
      <c r="U402" t="s">
        <v>6116</v>
      </c>
      <c r="V402" t="s">
        <v>6117</v>
      </c>
      <c r="W402" t="s">
        <v>6118</v>
      </c>
      <c r="X402" t="s">
        <v>6119</v>
      </c>
      <c r="Y402" t="s">
        <v>6120</v>
      </c>
      <c r="Z402" t="s">
        <v>5746</v>
      </c>
      <c r="AA402" t="s">
        <v>6121</v>
      </c>
      <c r="AB402" t="s">
        <v>6122</v>
      </c>
      <c r="AC402" t="s">
        <v>74</v>
      </c>
      <c r="AD402" t="s">
        <v>74</v>
      </c>
      <c r="AE402" t="s">
        <v>74</v>
      </c>
      <c r="AF402" t="s">
        <v>74</v>
      </c>
      <c r="AG402">
        <v>48</v>
      </c>
      <c r="AH402">
        <v>140</v>
      </c>
      <c r="AI402">
        <v>162</v>
      </c>
      <c r="AJ402">
        <v>0</v>
      </c>
      <c r="AK402">
        <v>29</v>
      </c>
      <c r="AL402" t="s">
        <v>213</v>
      </c>
      <c r="AM402" t="s">
        <v>214</v>
      </c>
      <c r="AN402" t="s">
        <v>215</v>
      </c>
      <c r="AO402" t="s">
        <v>6083</v>
      </c>
      <c r="AP402" t="s">
        <v>74</v>
      </c>
      <c r="AQ402" t="s">
        <v>74</v>
      </c>
      <c r="AR402" t="s">
        <v>6085</v>
      </c>
      <c r="AS402" t="s">
        <v>6086</v>
      </c>
      <c r="AT402" t="s">
        <v>74</v>
      </c>
      <c r="AU402">
        <v>2004</v>
      </c>
      <c r="AV402">
        <v>51</v>
      </c>
      <c r="AW402" t="s">
        <v>6110</v>
      </c>
      <c r="AX402" t="s">
        <v>74</v>
      </c>
      <c r="AY402" t="s">
        <v>74</v>
      </c>
      <c r="AZ402" t="s">
        <v>74</v>
      </c>
      <c r="BA402" t="s">
        <v>74</v>
      </c>
      <c r="BB402">
        <v>1215</v>
      </c>
      <c r="BC402">
        <v>1236</v>
      </c>
      <c r="BD402" t="s">
        <v>74</v>
      </c>
      <c r="BE402" t="s">
        <v>6123</v>
      </c>
      <c r="BF402" t="str">
        <f>HYPERLINK("http://dx.doi.org/10.1016/j.dsr2.2004.06.011","http://dx.doi.org/10.1016/j.dsr2.2004.06.011")</f>
        <v>http://dx.doi.org/10.1016/j.dsr2.2004.06.011</v>
      </c>
      <c r="BG402" t="s">
        <v>74</v>
      </c>
      <c r="BH402" t="s">
        <v>74</v>
      </c>
      <c r="BI402">
        <v>22</v>
      </c>
      <c r="BJ402" t="s">
        <v>477</v>
      </c>
      <c r="BK402" t="s">
        <v>96</v>
      </c>
      <c r="BL402" t="s">
        <v>477</v>
      </c>
      <c r="BM402" t="s">
        <v>6112</v>
      </c>
      <c r="BN402" t="s">
        <v>74</v>
      </c>
      <c r="BO402" t="s">
        <v>74</v>
      </c>
      <c r="BP402" t="s">
        <v>74</v>
      </c>
      <c r="BQ402" t="s">
        <v>74</v>
      </c>
      <c r="BR402" t="s">
        <v>99</v>
      </c>
      <c r="BS402" t="s">
        <v>6124</v>
      </c>
      <c r="BT402" t="str">
        <f>HYPERLINK("https%3A%2F%2Fwww.webofscience.com%2Fwos%2Fwoscc%2Ffull-record%2FWOS:000225496900002","View Full Record in Web of Science")</f>
        <v>View Full Record in Web of Science</v>
      </c>
    </row>
    <row r="403" spans="1:72" x14ac:dyDescent="0.15">
      <c r="A403" t="s">
        <v>72</v>
      </c>
      <c r="B403" t="s">
        <v>6125</v>
      </c>
      <c r="C403" t="s">
        <v>74</v>
      </c>
      <c r="D403" t="s">
        <v>74</v>
      </c>
      <c r="E403" t="s">
        <v>74</v>
      </c>
      <c r="F403" t="s">
        <v>6125</v>
      </c>
      <c r="G403" t="s">
        <v>74</v>
      </c>
      <c r="H403" t="s">
        <v>74</v>
      </c>
      <c r="I403" t="s">
        <v>6126</v>
      </c>
      <c r="J403" t="s">
        <v>6078</v>
      </c>
      <c r="K403" t="s">
        <v>74</v>
      </c>
      <c r="L403" t="s">
        <v>74</v>
      </c>
      <c r="M403" t="s">
        <v>77</v>
      </c>
      <c r="N403" t="s">
        <v>78</v>
      </c>
      <c r="O403" t="s">
        <v>74</v>
      </c>
      <c r="P403" t="s">
        <v>74</v>
      </c>
      <c r="Q403" t="s">
        <v>74</v>
      </c>
      <c r="R403" t="s">
        <v>74</v>
      </c>
      <c r="S403" t="s">
        <v>74</v>
      </c>
      <c r="T403" t="s">
        <v>74</v>
      </c>
      <c r="U403" t="s">
        <v>6127</v>
      </c>
      <c r="V403" t="s">
        <v>6128</v>
      </c>
      <c r="W403" t="s">
        <v>6129</v>
      </c>
      <c r="X403" t="s">
        <v>6130</v>
      </c>
      <c r="Y403" t="s">
        <v>6131</v>
      </c>
      <c r="Z403" t="s">
        <v>6132</v>
      </c>
      <c r="AA403" t="s">
        <v>3008</v>
      </c>
      <c r="AB403" t="s">
        <v>3009</v>
      </c>
      <c r="AC403" t="s">
        <v>74</v>
      </c>
      <c r="AD403" t="s">
        <v>74</v>
      </c>
      <c r="AE403" t="s">
        <v>74</v>
      </c>
      <c r="AF403" t="s">
        <v>74</v>
      </c>
      <c r="AG403">
        <v>58</v>
      </c>
      <c r="AH403">
        <v>68</v>
      </c>
      <c r="AI403">
        <v>75</v>
      </c>
      <c r="AJ403">
        <v>0</v>
      </c>
      <c r="AK403">
        <v>6</v>
      </c>
      <c r="AL403" t="s">
        <v>213</v>
      </c>
      <c r="AM403" t="s">
        <v>214</v>
      </c>
      <c r="AN403" t="s">
        <v>215</v>
      </c>
      <c r="AO403" t="s">
        <v>6083</v>
      </c>
      <c r="AP403" t="s">
        <v>74</v>
      </c>
      <c r="AQ403" t="s">
        <v>74</v>
      </c>
      <c r="AR403" t="s">
        <v>6085</v>
      </c>
      <c r="AS403" t="s">
        <v>6086</v>
      </c>
      <c r="AT403" t="s">
        <v>74</v>
      </c>
      <c r="AU403">
        <v>2004</v>
      </c>
      <c r="AV403">
        <v>51</v>
      </c>
      <c r="AW403" t="s">
        <v>6110</v>
      </c>
      <c r="AX403" t="s">
        <v>74</v>
      </c>
      <c r="AY403" t="s">
        <v>74</v>
      </c>
      <c r="AZ403" t="s">
        <v>74</v>
      </c>
      <c r="BA403" t="s">
        <v>74</v>
      </c>
      <c r="BB403">
        <v>1237</v>
      </c>
      <c r="BC403">
        <v>1251</v>
      </c>
      <c r="BD403" t="s">
        <v>74</v>
      </c>
      <c r="BE403" t="s">
        <v>6133</v>
      </c>
      <c r="BF403" t="str">
        <f>HYPERLINK("http://dx.doi.org/10.1016/j.dsr2.2004.06.012","http://dx.doi.org/10.1016/j.dsr2.2004.06.012")</f>
        <v>http://dx.doi.org/10.1016/j.dsr2.2004.06.012</v>
      </c>
      <c r="BG403" t="s">
        <v>74</v>
      </c>
      <c r="BH403" t="s">
        <v>74</v>
      </c>
      <c r="BI403">
        <v>15</v>
      </c>
      <c r="BJ403" t="s">
        <v>477</v>
      </c>
      <c r="BK403" t="s">
        <v>96</v>
      </c>
      <c r="BL403" t="s">
        <v>477</v>
      </c>
      <c r="BM403" t="s">
        <v>6112</v>
      </c>
      <c r="BN403" t="s">
        <v>74</v>
      </c>
      <c r="BO403" t="s">
        <v>74</v>
      </c>
      <c r="BP403" t="s">
        <v>74</v>
      </c>
      <c r="BQ403" t="s">
        <v>74</v>
      </c>
      <c r="BR403" t="s">
        <v>99</v>
      </c>
      <c r="BS403" t="s">
        <v>6134</v>
      </c>
      <c r="BT403" t="str">
        <f>HYPERLINK("https%3A%2F%2Fwww.webofscience.com%2Fwos%2Fwoscc%2Ffull-record%2FWOS:000225496900003","View Full Record in Web of Science")</f>
        <v>View Full Record in Web of Science</v>
      </c>
    </row>
    <row r="404" spans="1:72" x14ac:dyDescent="0.15">
      <c r="A404" t="s">
        <v>72</v>
      </c>
      <c r="B404" t="s">
        <v>6135</v>
      </c>
      <c r="C404" t="s">
        <v>74</v>
      </c>
      <c r="D404" t="s">
        <v>74</v>
      </c>
      <c r="E404" t="s">
        <v>74</v>
      </c>
      <c r="F404" t="s">
        <v>6135</v>
      </c>
      <c r="G404" t="s">
        <v>74</v>
      </c>
      <c r="H404" t="s">
        <v>74</v>
      </c>
      <c r="I404" t="s">
        <v>6136</v>
      </c>
      <c r="J404" t="s">
        <v>6078</v>
      </c>
      <c r="K404" t="s">
        <v>74</v>
      </c>
      <c r="L404" t="s">
        <v>74</v>
      </c>
      <c r="M404" t="s">
        <v>77</v>
      </c>
      <c r="N404" t="s">
        <v>78</v>
      </c>
      <c r="O404" t="s">
        <v>74</v>
      </c>
      <c r="P404" t="s">
        <v>74</v>
      </c>
      <c r="Q404" t="s">
        <v>74</v>
      </c>
      <c r="R404" t="s">
        <v>74</v>
      </c>
      <c r="S404" t="s">
        <v>74</v>
      </c>
      <c r="T404" t="s">
        <v>74</v>
      </c>
      <c r="U404" t="s">
        <v>6137</v>
      </c>
      <c r="V404" t="s">
        <v>6138</v>
      </c>
      <c r="W404" t="s">
        <v>6139</v>
      </c>
      <c r="X404" t="s">
        <v>6140</v>
      </c>
      <c r="Y404" t="s">
        <v>6141</v>
      </c>
      <c r="Z404" t="s">
        <v>6142</v>
      </c>
      <c r="AA404" t="s">
        <v>6143</v>
      </c>
      <c r="AB404" t="s">
        <v>6144</v>
      </c>
      <c r="AC404" t="s">
        <v>74</v>
      </c>
      <c r="AD404" t="s">
        <v>74</v>
      </c>
      <c r="AE404" t="s">
        <v>74</v>
      </c>
      <c r="AF404" t="s">
        <v>74</v>
      </c>
      <c r="AG404">
        <v>73</v>
      </c>
      <c r="AH404">
        <v>49</v>
      </c>
      <c r="AI404">
        <v>59</v>
      </c>
      <c r="AJ404">
        <v>1</v>
      </c>
      <c r="AK404">
        <v>13</v>
      </c>
      <c r="AL404" t="s">
        <v>213</v>
      </c>
      <c r="AM404" t="s">
        <v>214</v>
      </c>
      <c r="AN404" t="s">
        <v>215</v>
      </c>
      <c r="AO404" t="s">
        <v>6083</v>
      </c>
      <c r="AP404" t="s">
        <v>6084</v>
      </c>
      <c r="AQ404" t="s">
        <v>74</v>
      </c>
      <c r="AR404" t="s">
        <v>6085</v>
      </c>
      <c r="AS404" t="s">
        <v>6086</v>
      </c>
      <c r="AT404" t="s">
        <v>74</v>
      </c>
      <c r="AU404">
        <v>2004</v>
      </c>
      <c r="AV404">
        <v>51</v>
      </c>
      <c r="AW404" t="s">
        <v>6110</v>
      </c>
      <c r="AX404" t="s">
        <v>74</v>
      </c>
      <c r="AY404" t="s">
        <v>74</v>
      </c>
      <c r="AZ404" t="s">
        <v>74</v>
      </c>
      <c r="BA404" t="s">
        <v>74</v>
      </c>
      <c r="BB404">
        <v>1253</v>
      </c>
      <c r="BC404">
        <v>1273</v>
      </c>
      <c r="BD404" t="s">
        <v>74</v>
      </c>
      <c r="BE404" t="s">
        <v>6145</v>
      </c>
      <c r="BF404" t="str">
        <f>HYPERLINK("http://dx.doi.org/10.1016/j.dsr2.2004.06.013","http://dx.doi.org/10.1016/j.dsr2.2004.06.013")</f>
        <v>http://dx.doi.org/10.1016/j.dsr2.2004.06.013</v>
      </c>
      <c r="BG404" t="s">
        <v>74</v>
      </c>
      <c r="BH404" t="s">
        <v>74</v>
      </c>
      <c r="BI404">
        <v>21</v>
      </c>
      <c r="BJ404" t="s">
        <v>477</v>
      </c>
      <c r="BK404" t="s">
        <v>96</v>
      </c>
      <c r="BL404" t="s">
        <v>477</v>
      </c>
      <c r="BM404" t="s">
        <v>6112</v>
      </c>
      <c r="BN404" t="s">
        <v>74</v>
      </c>
      <c r="BO404" t="s">
        <v>74</v>
      </c>
      <c r="BP404" t="s">
        <v>74</v>
      </c>
      <c r="BQ404" t="s">
        <v>74</v>
      </c>
      <c r="BR404" t="s">
        <v>99</v>
      </c>
      <c r="BS404" t="s">
        <v>6146</v>
      </c>
      <c r="BT404" t="str">
        <f>HYPERLINK("https%3A%2F%2Fwww.webofscience.com%2Fwos%2Fwoscc%2Ffull-record%2FWOS:000225496900004","View Full Record in Web of Science")</f>
        <v>View Full Record in Web of Science</v>
      </c>
    </row>
    <row r="405" spans="1:72" x14ac:dyDescent="0.15">
      <c r="A405" t="s">
        <v>72</v>
      </c>
      <c r="B405" t="s">
        <v>6147</v>
      </c>
      <c r="C405" t="s">
        <v>74</v>
      </c>
      <c r="D405" t="s">
        <v>74</v>
      </c>
      <c r="E405" t="s">
        <v>74</v>
      </c>
      <c r="F405" t="s">
        <v>6147</v>
      </c>
      <c r="G405" t="s">
        <v>74</v>
      </c>
      <c r="H405" t="s">
        <v>74</v>
      </c>
      <c r="I405" t="s">
        <v>6148</v>
      </c>
      <c r="J405" t="s">
        <v>6078</v>
      </c>
      <c r="K405" t="s">
        <v>74</v>
      </c>
      <c r="L405" t="s">
        <v>74</v>
      </c>
      <c r="M405" t="s">
        <v>77</v>
      </c>
      <c r="N405" t="s">
        <v>78</v>
      </c>
      <c r="O405" t="s">
        <v>74</v>
      </c>
      <c r="P405" t="s">
        <v>74</v>
      </c>
      <c r="Q405" t="s">
        <v>74</v>
      </c>
      <c r="R405" t="s">
        <v>74</v>
      </c>
      <c r="S405" t="s">
        <v>74</v>
      </c>
      <c r="T405" t="s">
        <v>74</v>
      </c>
      <c r="U405" t="s">
        <v>6149</v>
      </c>
      <c r="V405" t="s">
        <v>6150</v>
      </c>
      <c r="W405" t="s">
        <v>6151</v>
      </c>
      <c r="X405" t="s">
        <v>6152</v>
      </c>
      <c r="Y405" t="s">
        <v>6153</v>
      </c>
      <c r="Z405" t="s">
        <v>84</v>
      </c>
      <c r="AA405" t="s">
        <v>6154</v>
      </c>
      <c r="AB405" t="s">
        <v>6155</v>
      </c>
      <c r="AC405" t="s">
        <v>74</v>
      </c>
      <c r="AD405" t="s">
        <v>74</v>
      </c>
      <c r="AE405" t="s">
        <v>74</v>
      </c>
      <c r="AF405" t="s">
        <v>74</v>
      </c>
      <c r="AG405">
        <v>15</v>
      </c>
      <c r="AH405">
        <v>7</v>
      </c>
      <c r="AI405">
        <v>8</v>
      </c>
      <c r="AJ405">
        <v>0</v>
      </c>
      <c r="AK405">
        <v>5</v>
      </c>
      <c r="AL405" t="s">
        <v>213</v>
      </c>
      <c r="AM405" t="s">
        <v>214</v>
      </c>
      <c r="AN405" t="s">
        <v>215</v>
      </c>
      <c r="AO405" t="s">
        <v>6083</v>
      </c>
      <c r="AP405" t="s">
        <v>6084</v>
      </c>
      <c r="AQ405" t="s">
        <v>74</v>
      </c>
      <c r="AR405" t="s">
        <v>6085</v>
      </c>
      <c r="AS405" t="s">
        <v>6086</v>
      </c>
      <c r="AT405" t="s">
        <v>74</v>
      </c>
      <c r="AU405">
        <v>2004</v>
      </c>
      <c r="AV405">
        <v>51</v>
      </c>
      <c r="AW405" t="s">
        <v>6110</v>
      </c>
      <c r="AX405" t="s">
        <v>74</v>
      </c>
      <c r="AY405" t="s">
        <v>74</v>
      </c>
      <c r="AZ405" t="s">
        <v>74</v>
      </c>
      <c r="BA405" t="s">
        <v>74</v>
      </c>
      <c r="BB405">
        <v>1275</v>
      </c>
      <c r="BC405">
        <v>1287</v>
      </c>
      <c r="BD405" t="s">
        <v>74</v>
      </c>
      <c r="BE405" t="s">
        <v>6156</v>
      </c>
      <c r="BF405" t="str">
        <f>HYPERLINK("http://dx.doi.org/10.1016/j.dsr2.2004.06.014","http://dx.doi.org/10.1016/j.dsr2.2004.06.014")</f>
        <v>http://dx.doi.org/10.1016/j.dsr2.2004.06.014</v>
      </c>
      <c r="BG405" t="s">
        <v>74</v>
      </c>
      <c r="BH405" t="s">
        <v>74</v>
      </c>
      <c r="BI405">
        <v>13</v>
      </c>
      <c r="BJ405" t="s">
        <v>477</v>
      </c>
      <c r="BK405" t="s">
        <v>96</v>
      </c>
      <c r="BL405" t="s">
        <v>477</v>
      </c>
      <c r="BM405" t="s">
        <v>6112</v>
      </c>
      <c r="BN405" t="s">
        <v>74</v>
      </c>
      <c r="BO405" t="s">
        <v>74</v>
      </c>
      <c r="BP405" t="s">
        <v>74</v>
      </c>
      <c r="BQ405" t="s">
        <v>74</v>
      </c>
      <c r="BR405" t="s">
        <v>99</v>
      </c>
      <c r="BS405" t="s">
        <v>6157</v>
      </c>
      <c r="BT405" t="str">
        <f>HYPERLINK("https%3A%2F%2Fwww.webofscience.com%2Fwos%2Fwoscc%2Ffull-record%2FWOS:000225496900005","View Full Record in Web of Science")</f>
        <v>View Full Record in Web of Science</v>
      </c>
    </row>
    <row r="406" spans="1:72" x14ac:dyDescent="0.15">
      <c r="A406" t="s">
        <v>72</v>
      </c>
      <c r="B406" t="s">
        <v>6158</v>
      </c>
      <c r="C406" t="s">
        <v>74</v>
      </c>
      <c r="D406" t="s">
        <v>74</v>
      </c>
      <c r="E406" t="s">
        <v>74</v>
      </c>
      <c r="F406" t="s">
        <v>6158</v>
      </c>
      <c r="G406" t="s">
        <v>74</v>
      </c>
      <c r="H406" t="s">
        <v>74</v>
      </c>
      <c r="I406" t="s">
        <v>6159</v>
      </c>
      <c r="J406" t="s">
        <v>6078</v>
      </c>
      <c r="K406" t="s">
        <v>74</v>
      </c>
      <c r="L406" t="s">
        <v>74</v>
      </c>
      <c r="M406" t="s">
        <v>77</v>
      </c>
      <c r="N406" t="s">
        <v>78</v>
      </c>
      <c r="O406" t="s">
        <v>74</v>
      </c>
      <c r="P406" t="s">
        <v>74</v>
      </c>
      <c r="Q406" t="s">
        <v>74</v>
      </c>
      <c r="R406" t="s">
        <v>74</v>
      </c>
      <c r="S406" t="s">
        <v>74</v>
      </c>
      <c r="T406" t="s">
        <v>74</v>
      </c>
      <c r="U406" t="s">
        <v>6160</v>
      </c>
      <c r="V406" t="s">
        <v>6161</v>
      </c>
      <c r="W406" t="s">
        <v>6162</v>
      </c>
      <c r="X406" t="s">
        <v>6163</v>
      </c>
      <c r="Y406" t="s">
        <v>5763</v>
      </c>
      <c r="Z406" t="s">
        <v>6164</v>
      </c>
      <c r="AA406" t="s">
        <v>74</v>
      </c>
      <c r="AB406" t="s">
        <v>74</v>
      </c>
      <c r="AC406" t="s">
        <v>74</v>
      </c>
      <c r="AD406" t="s">
        <v>74</v>
      </c>
      <c r="AE406" t="s">
        <v>74</v>
      </c>
      <c r="AF406" t="s">
        <v>74</v>
      </c>
      <c r="AG406">
        <v>25</v>
      </c>
      <c r="AH406">
        <v>10</v>
      </c>
      <c r="AI406">
        <v>12</v>
      </c>
      <c r="AJ406">
        <v>0</v>
      </c>
      <c r="AK406">
        <v>3</v>
      </c>
      <c r="AL406" t="s">
        <v>213</v>
      </c>
      <c r="AM406" t="s">
        <v>214</v>
      </c>
      <c r="AN406" t="s">
        <v>215</v>
      </c>
      <c r="AO406" t="s">
        <v>6083</v>
      </c>
      <c r="AP406" t="s">
        <v>6084</v>
      </c>
      <c r="AQ406" t="s">
        <v>74</v>
      </c>
      <c r="AR406" t="s">
        <v>6085</v>
      </c>
      <c r="AS406" t="s">
        <v>6086</v>
      </c>
      <c r="AT406" t="s">
        <v>74</v>
      </c>
      <c r="AU406">
        <v>2004</v>
      </c>
      <c r="AV406">
        <v>51</v>
      </c>
      <c r="AW406" t="s">
        <v>6110</v>
      </c>
      <c r="AX406" t="s">
        <v>74</v>
      </c>
      <c r="AY406" t="s">
        <v>74</v>
      </c>
      <c r="AZ406" t="s">
        <v>74</v>
      </c>
      <c r="BA406" t="s">
        <v>74</v>
      </c>
      <c r="BB406">
        <v>1289</v>
      </c>
      <c r="BC406">
        <v>1300</v>
      </c>
      <c r="BD406" t="s">
        <v>74</v>
      </c>
      <c r="BE406" t="s">
        <v>6165</v>
      </c>
      <c r="BF406" t="str">
        <f>HYPERLINK("http://dx.doi.org/10.1016/j.dsr2.2004.06.005","http://dx.doi.org/10.1016/j.dsr2.2004.06.005")</f>
        <v>http://dx.doi.org/10.1016/j.dsr2.2004.06.005</v>
      </c>
      <c r="BG406" t="s">
        <v>74</v>
      </c>
      <c r="BH406" t="s">
        <v>74</v>
      </c>
      <c r="BI406">
        <v>12</v>
      </c>
      <c r="BJ406" t="s">
        <v>477</v>
      </c>
      <c r="BK406" t="s">
        <v>96</v>
      </c>
      <c r="BL406" t="s">
        <v>477</v>
      </c>
      <c r="BM406" t="s">
        <v>6112</v>
      </c>
      <c r="BN406" t="s">
        <v>74</v>
      </c>
      <c r="BO406" t="s">
        <v>74</v>
      </c>
      <c r="BP406" t="s">
        <v>74</v>
      </c>
      <c r="BQ406" t="s">
        <v>74</v>
      </c>
      <c r="BR406" t="s">
        <v>99</v>
      </c>
      <c r="BS406" t="s">
        <v>6166</v>
      </c>
      <c r="BT406" t="str">
        <f>HYPERLINK("https%3A%2F%2Fwww.webofscience.com%2Fwos%2Fwoscc%2Ffull-record%2FWOS:000225496900006","View Full Record in Web of Science")</f>
        <v>View Full Record in Web of Science</v>
      </c>
    </row>
    <row r="407" spans="1:72" x14ac:dyDescent="0.15">
      <c r="A407" t="s">
        <v>72</v>
      </c>
      <c r="B407" t="s">
        <v>6167</v>
      </c>
      <c r="C407" t="s">
        <v>74</v>
      </c>
      <c r="D407" t="s">
        <v>74</v>
      </c>
      <c r="E407" t="s">
        <v>74</v>
      </c>
      <c r="F407" t="s">
        <v>6167</v>
      </c>
      <c r="G407" t="s">
        <v>74</v>
      </c>
      <c r="H407" t="s">
        <v>74</v>
      </c>
      <c r="I407" t="s">
        <v>6168</v>
      </c>
      <c r="J407" t="s">
        <v>6078</v>
      </c>
      <c r="K407" t="s">
        <v>74</v>
      </c>
      <c r="L407" t="s">
        <v>74</v>
      </c>
      <c r="M407" t="s">
        <v>77</v>
      </c>
      <c r="N407" t="s">
        <v>78</v>
      </c>
      <c r="O407" t="s">
        <v>74</v>
      </c>
      <c r="P407" t="s">
        <v>74</v>
      </c>
      <c r="Q407" t="s">
        <v>74</v>
      </c>
      <c r="R407" t="s">
        <v>74</v>
      </c>
      <c r="S407" t="s">
        <v>74</v>
      </c>
      <c r="T407" t="s">
        <v>74</v>
      </c>
      <c r="U407" t="s">
        <v>6169</v>
      </c>
      <c r="V407" t="s">
        <v>6170</v>
      </c>
      <c r="W407" t="s">
        <v>6171</v>
      </c>
      <c r="X407" t="s">
        <v>6172</v>
      </c>
      <c r="Y407" t="s">
        <v>6173</v>
      </c>
      <c r="Z407" t="s">
        <v>6174</v>
      </c>
      <c r="AA407" t="s">
        <v>6175</v>
      </c>
      <c r="AB407" t="s">
        <v>6176</v>
      </c>
      <c r="AC407" t="s">
        <v>74</v>
      </c>
      <c r="AD407" t="s">
        <v>74</v>
      </c>
      <c r="AE407" t="s">
        <v>74</v>
      </c>
      <c r="AF407" t="s">
        <v>74</v>
      </c>
      <c r="AG407">
        <v>43</v>
      </c>
      <c r="AH407">
        <v>32</v>
      </c>
      <c r="AI407">
        <v>34</v>
      </c>
      <c r="AJ407">
        <v>0</v>
      </c>
      <c r="AK407">
        <v>8</v>
      </c>
      <c r="AL407" t="s">
        <v>213</v>
      </c>
      <c r="AM407" t="s">
        <v>214</v>
      </c>
      <c r="AN407" t="s">
        <v>215</v>
      </c>
      <c r="AO407" t="s">
        <v>6083</v>
      </c>
      <c r="AP407" t="s">
        <v>74</v>
      </c>
      <c r="AQ407" t="s">
        <v>74</v>
      </c>
      <c r="AR407" t="s">
        <v>6085</v>
      </c>
      <c r="AS407" t="s">
        <v>6086</v>
      </c>
      <c r="AT407" t="s">
        <v>74</v>
      </c>
      <c r="AU407">
        <v>2004</v>
      </c>
      <c r="AV407">
        <v>51</v>
      </c>
      <c r="AW407" t="s">
        <v>6110</v>
      </c>
      <c r="AX407" t="s">
        <v>74</v>
      </c>
      <c r="AY407" t="s">
        <v>74</v>
      </c>
      <c r="AZ407" t="s">
        <v>74</v>
      </c>
      <c r="BA407" t="s">
        <v>74</v>
      </c>
      <c r="BB407">
        <v>1301</v>
      </c>
      <c r="BC407">
        <v>1321</v>
      </c>
      <c r="BD407" t="s">
        <v>74</v>
      </c>
      <c r="BE407" t="s">
        <v>6177</v>
      </c>
      <c r="BF407" t="str">
        <f>HYPERLINK("http://dx.doi.org/10.1016/j.dsr2.2004.06.006","http://dx.doi.org/10.1016/j.dsr2.2004.06.006")</f>
        <v>http://dx.doi.org/10.1016/j.dsr2.2004.06.006</v>
      </c>
      <c r="BG407" t="s">
        <v>74</v>
      </c>
      <c r="BH407" t="s">
        <v>74</v>
      </c>
      <c r="BI407">
        <v>21</v>
      </c>
      <c r="BJ407" t="s">
        <v>477</v>
      </c>
      <c r="BK407" t="s">
        <v>96</v>
      </c>
      <c r="BL407" t="s">
        <v>477</v>
      </c>
      <c r="BM407" t="s">
        <v>6112</v>
      </c>
      <c r="BN407" t="s">
        <v>74</v>
      </c>
      <c r="BO407" t="s">
        <v>156</v>
      </c>
      <c r="BP407" t="s">
        <v>74</v>
      </c>
      <c r="BQ407" t="s">
        <v>74</v>
      </c>
      <c r="BR407" t="s">
        <v>99</v>
      </c>
      <c r="BS407" t="s">
        <v>6178</v>
      </c>
      <c r="BT407" t="str">
        <f>HYPERLINK("https%3A%2F%2Fwww.webofscience.com%2Fwos%2Fwoscc%2Ffull-record%2FWOS:000225496900007","View Full Record in Web of Science")</f>
        <v>View Full Record in Web of Science</v>
      </c>
    </row>
    <row r="408" spans="1:72" x14ac:dyDescent="0.15">
      <c r="A408" t="s">
        <v>72</v>
      </c>
      <c r="B408" t="s">
        <v>6179</v>
      </c>
      <c r="C408" t="s">
        <v>74</v>
      </c>
      <c r="D408" t="s">
        <v>74</v>
      </c>
      <c r="E408" t="s">
        <v>74</v>
      </c>
      <c r="F408" t="s">
        <v>6179</v>
      </c>
      <c r="G408" t="s">
        <v>74</v>
      </c>
      <c r="H408" t="s">
        <v>74</v>
      </c>
      <c r="I408" t="s">
        <v>6180</v>
      </c>
      <c r="J408" t="s">
        <v>6078</v>
      </c>
      <c r="K408" t="s">
        <v>74</v>
      </c>
      <c r="L408" t="s">
        <v>74</v>
      </c>
      <c r="M408" t="s">
        <v>77</v>
      </c>
      <c r="N408" t="s">
        <v>78</v>
      </c>
      <c r="O408" t="s">
        <v>74</v>
      </c>
      <c r="P408" t="s">
        <v>74</v>
      </c>
      <c r="Q408" t="s">
        <v>74</v>
      </c>
      <c r="R408" t="s">
        <v>74</v>
      </c>
      <c r="S408" t="s">
        <v>74</v>
      </c>
      <c r="T408" t="s">
        <v>74</v>
      </c>
      <c r="U408" t="s">
        <v>6181</v>
      </c>
      <c r="V408" t="s">
        <v>6182</v>
      </c>
      <c r="W408" t="s">
        <v>6183</v>
      </c>
      <c r="X408" t="s">
        <v>6184</v>
      </c>
      <c r="Y408" t="s">
        <v>6185</v>
      </c>
      <c r="Z408" t="s">
        <v>6186</v>
      </c>
      <c r="AA408" t="s">
        <v>6143</v>
      </c>
      <c r="AB408" t="s">
        <v>6187</v>
      </c>
      <c r="AC408" t="s">
        <v>74</v>
      </c>
      <c r="AD408" t="s">
        <v>74</v>
      </c>
      <c r="AE408" t="s">
        <v>74</v>
      </c>
      <c r="AF408" t="s">
        <v>74</v>
      </c>
      <c r="AG408">
        <v>22</v>
      </c>
      <c r="AH408">
        <v>64</v>
      </c>
      <c r="AI408">
        <v>71</v>
      </c>
      <c r="AJ408">
        <v>1</v>
      </c>
      <c r="AK408">
        <v>15</v>
      </c>
      <c r="AL408" t="s">
        <v>213</v>
      </c>
      <c r="AM408" t="s">
        <v>214</v>
      </c>
      <c r="AN408" t="s">
        <v>215</v>
      </c>
      <c r="AO408" t="s">
        <v>6083</v>
      </c>
      <c r="AP408" t="s">
        <v>74</v>
      </c>
      <c r="AQ408" t="s">
        <v>74</v>
      </c>
      <c r="AR408" t="s">
        <v>6085</v>
      </c>
      <c r="AS408" t="s">
        <v>6086</v>
      </c>
      <c r="AT408" t="s">
        <v>74</v>
      </c>
      <c r="AU408">
        <v>2004</v>
      </c>
      <c r="AV408">
        <v>51</v>
      </c>
      <c r="AW408" t="s">
        <v>6110</v>
      </c>
      <c r="AX408" t="s">
        <v>74</v>
      </c>
      <c r="AY408" t="s">
        <v>74</v>
      </c>
      <c r="AZ408" t="s">
        <v>74</v>
      </c>
      <c r="BA408" t="s">
        <v>74</v>
      </c>
      <c r="BB408">
        <v>1323</v>
      </c>
      <c r="BC408">
        <v>1331</v>
      </c>
      <c r="BD408" t="s">
        <v>74</v>
      </c>
      <c r="BE408" t="s">
        <v>6188</v>
      </c>
      <c r="BF408" t="str">
        <f>HYPERLINK("http://dx.doi.org/10.1016/j.dsr2.2004.06.004","http://dx.doi.org/10.1016/j.dsr2.2004.06.004")</f>
        <v>http://dx.doi.org/10.1016/j.dsr2.2004.06.004</v>
      </c>
      <c r="BG408" t="s">
        <v>74</v>
      </c>
      <c r="BH408" t="s">
        <v>74</v>
      </c>
      <c r="BI408">
        <v>9</v>
      </c>
      <c r="BJ408" t="s">
        <v>477</v>
      </c>
      <c r="BK408" t="s">
        <v>96</v>
      </c>
      <c r="BL408" t="s">
        <v>477</v>
      </c>
      <c r="BM408" t="s">
        <v>6112</v>
      </c>
      <c r="BN408" t="s">
        <v>74</v>
      </c>
      <c r="BO408" t="s">
        <v>74</v>
      </c>
      <c r="BP408" t="s">
        <v>74</v>
      </c>
      <c r="BQ408" t="s">
        <v>74</v>
      </c>
      <c r="BR408" t="s">
        <v>99</v>
      </c>
      <c r="BS408" t="s">
        <v>6189</v>
      </c>
      <c r="BT408" t="str">
        <f>HYPERLINK("https%3A%2F%2Fwww.webofscience.com%2Fwos%2Fwoscc%2Ffull-record%2FWOS:000225496900008","View Full Record in Web of Science")</f>
        <v>View Full Record in Web of Science</v>
      </c>
    </row>
    <row r="409" spans="1:72" x14ac:dyDescent="0.15">
      <c r="A409" t="s">
        <v>72</v>
      </c>
      <c r="B409" t="s">
        <v>6190</v>
      </c>
      <c r="C409" t="s">
        <v>74</v>
      </c>
      <c r="D409" t="s">
        <v>74</v>
      </c>
      <c r="E409" t="s">
        <v>74</v>
      </c>
      <c r="F409" t="s">
        <v>6190</v>
      </c>
      <c r="G409" t="s">
        <v>74</v>
      </c>
      <c r="H409" t="s">
        <v>74</v>
      </c>
      <c r="I409" t="s">
        <v>6191</v>
      </c>
      <c r="J409" t="s">
        <v>6078</v>
      </c>
      <c r="K409" t="s">
        <v>74</v>
      </c>
      <c r="L409" t="s">
        <v>74</v>
      </c>
      <c r="M409" t="s">
        <v>77</v>
      </c>
      <c r="N409" t="s">
        <v>78</v>
      </c>
      <c r="O409" t="s">
        <v>74</v>
      </c>
      <c r="P409" t="s">
        <v>74</v>
      </c>
      <c r="Q409" t="s">
        <v>74</v>
      </c>
      <c r="R409" t="s">
        <v>74</v>
      </c>
      <c r="S409" t="s">
        <v>74</v>
      </c>
      <c r="T409" t="s">
        <v>74</v>
      </c>
      <c r="U409" t="s">
        <v>6192</v>
      </c>
      <c r="V409" t="s">
        <v>6193</v>
      </c>
      <c r="W409" t="s">
        <v>6183</v>
      </c>
      <c r="X409" t="s">
        <v>6184</v>
      </c>
      <c r="Y409" t="s">
        <v>6185</v>
      </c>
      <c r="Z409" t="s">
        <v>6186</v>
      </c>
      <c r="AA409" t="s">
        <v>6194</v>
      </c>
      <c r="AB409" t="s">
        <v>6195</v>
      </c>
      <c r="AC409" t="s">
        <v>74</v>
      </c>
      <c r="AD409" t="s">
        <v>74</v>
      </c>
      <c r="AE409" t="s">
        <v>74</v>
      </c>
      <c r="AF409" t="s">
        <v>74</v>
      </c>
      <c r="AG409">
        <v>68</v>
      </c>
      <c r="AH409">
        <v>60</v>
      </c>
      <c r="AI409">
        <v>68</v>
      </c>
      <c r="AJ409">
        <v>1</v>
      </c>
      <c r="AK409">
        <v>19</v>
      </c>
      <c r="AL409" t="s">
        <v>213</v>
      </c>
      <c r="AM409" t="s">
        <v>214</v>
      </c>
      <c r="AN409" t="s">
        <v>215</v>
      </c>
      <c r="AO409" t="s">
        <v>6083</v>
      </c>
      <c r="AP409" t="s">
        <v>74</v>
      </c>
      <c r="AQ409" t="s">
        <v>74</v>
      </c>
      <c r="AR409" t="s">
        <v>6085</v>
      </c>
      <c r="AS409" t="s">
        <v>6086</v>
      </c>
      <c r="AT409" t="s">
        <v>74</v>
      </c>
      <c r="AU409">
        <v>2004</v>
      </c>
      <c r="AV409">
        <v>51</v>
      </c>
      <c r="AW409" t="s">
        <v>6110</v>
      </c>
      <c r="AX409" t="s">
        <v>74</v>
      </c>
      <c r="AY409" t="s">
        <v>74</v>
      </c>
      <c r="AZ409" t="s">
        <v>74</v>
      </c>
      <c r="BA409" t="s">
        <v>74</v>
      </c>
      <c r="BB409">
        <v>1333</v>
      </c>
      <c r="BC409">
        <v>1350</v>
      </c>
      <c r="BD409" t="s">
        <v>74</v>
      </c>
      <c r="BE409" t="s">
        <v>6196</v>
      </c>
      <c r="BF409" t="str">
        <f>HYPERLINK("http://dx.doi.org/10.1016/j.dsr2.2004.06.015","http://dx.doi.org/10.1016/j.dsr2.2004.06.015")</f>
        <v>http://dx.doi.org/10.1016/j.dsr2.2004.06.015</v>
      </c>
      <c r="BG409" t="s">
        <v>74</v>
      </c>
      <c r="BH409" t="s">
        <v>74</v>
      </c>
      <c r="BI409">
        <v>18</v>
      </c>
      <c r="BJ409" t="s">
        <v>477</v>
      </c>
      <c r="BK409" t="s">
        <v>96</v>
      </c>
      <c r="BL409" t="s">
        <v>477</v>
      </c>
      <c r="BM409" t="s">
        <v>6112</v>
      </c>
      <c r="BN409" t="s">
        <v>74</v>
      </c>
      <c r="BO409" t="s">
        <v>74</v>
      </c>
      <c r="BP409" t="s">
        <v>74</v>
      </c>
      <c r="BQ409" t="s">
        <v>74</v>
      </c>
      <c r="BR409" t="s">
        <v>99</v>
      </c>
      <c r="BS409" t="s">
        <v>6197</v>
      </c>
      <c r="BT409" t="str">
        <f>HYPERLINK("https%3A%2F%2Fwww.webofscience.com%2Fwos%2Fwoscc%2Ffull-record%2FWOS:000225496900009","View Full Record in Web of Science")</f>
        <v>View Full Record in Web of Science</v>
      </c>
    </row>
    <row r="410" spans="1:72" x14ac:dyDescent="0.15">
      <c r="A410" t="s">
        <v>72</v>
      </c>
      <c r="B410" t="s">
        <v>6198</v>
      </c>
      <c r="C410" t="s">
        <v>74</v>
      </c>
      <c r="D410" t="s">
        <v>74</v>
      </c>
      <c r="E410" t="s">
        <v>74</v>
      </c>
      <c r="F410" t="s">
        <v>6198</v>
      </c>
      <c r="G410" t="s">
        <v>74</v>
      </c>
      <c r="H410" t="s">
        <v>74</v>
      </c>
      <c r="I410" t="s">
        <v>6199</v>
      </c>
      <c r="J410" t="s">
        <v>6078</v>
      </c>
      <c r="K410" t="s">
        <v>74</v>
      </c>
      <c r="L410" t="s">
        <v>74</v>
      </c>
      <c r="M410" t="s">
        <v>77</v>
      </c>
      <c r="N410" t="s">
        <v>78</v>
      </c>
      <c r="O410" t="s">
        <v>74</v>
      </c>
      <c r="P410" t="s">
        <v>74</v>
      </c>
      <c r="Q410" t="s">
        <v>74</v>
      </c>
      <c r="R410" t="s">
        <v>74</v>
      </c>
      <c r="S410" t="s">
        <v>74</v>
      </c>
      <c r="T410" t="s">
        <v>74</v>
      </c>
      <c r="U410" t="s">
        <v>6200</v>
      </c>
      <c r="V410" t="s">
        <v>6201</v>
      </c>
      <c r="W410" t="s">
        <v>6202</v>
      </c>
      <c r="X410" t="s">
        <v>6203</v>
      </c>
      <c r="Y410" t="s">
        <v>6204</v>
      </c>
      <c r="Z410" t="s">
        <v>6205</v>
      </c>
      <c r="AA410" t="s">
        <v>6206</v>
      </c>
      <c r="AB410" t="s">
        <v>6207</v>
      </c>
      <c r="AC410" t="s">
        <v>74</v>
      </c>
      <c r="AD410" t="s">
        <v>74</v>
      </c>
      <c r="AE410" t="s">
        <v>74</v>
      </c>
      <c r="AF410" t="s">
        <v>74</v>
      </c>
      <c r="AG410">
        <v>55</v>
      </c>
      <c r="AH410">
        <v>39</v>
      </c>
      <c r="AI410">
        <v>43</v>
      </c>
      <c r="AJ410">
        <v>0</v>
      </c>
      <c r="AK410">
        <v>6</v>
      </c>
      <c r="AL410" t="s">
        <v>213</v>
      </c>
      <c r="AM410" t="s">
        <v>214</v>
      </c>
      <c r="AN410" t="s">
        <v>215</v>
      </c>
      <c r="AO410" t="s">
        <v>6083</v>
      </c>
      <c r="AP410" t="s">
        <v>6084</v>
      </c>
      <c r="AQ410" t="s">
        <v>74</v>
      </c>
      <c r="AR410" t="s">
        <v>6085</v>
      </c>
      <c r="AS410" t="s">
        <v>6086</v>
      </c>
      <c r="AT410" t="s">
        <v>74</v>
      </c>
      <c r="AU410">
        <v>2004</v>
      </c>
      <c r="AV410">
        <v>51</v>
      </c>
      <c r="AW410" t="s">
        <v>6110</v>
      </c>
      <c r="AX410" t="s">
        <v>74</v>
      </c>
      <c r="AY410" t="s">
        <v>74</v>
      </c>
      <c r="AZ410" t="s">
        <v>74</v>
      </c>
      <c r="BA410" t="s">
        <v>74</v>
      </c>
      <c r="BB410">
        <v>1351</v>
      </c>
      <c r="BC410">
        <v>1367</v>
      </c>
      <c r="BD410" t="s">
        <v>74</v>
      </c>
      <c r="BE410" t="s">
        <v>6208</v>
      </c>
      <c r="BF410" t="str">
        <f>HYPERLINK("http://dx.doi.org/10.1016/j.dsr2.2004.06.016","http://dx.doi.org/10.1016/j.dsr2.2004.06.016")</f>
        <v>http://dx.doi.org/10.1016/j.dsr2.2004.06.016</v>
      </c>
      <c r="BG410" t="s">
        <v>74</v>
      </c>
      <c r="BH410" t="s">
        <v>74</v>
      </c>
      <c r="BI410">
        <v>17</v>
      </c>
      <c r="BJ410" t="s">
        <v>477</v>
      </c>
      <c r="BK410" t="s">
        <v>96</v>
      </c>
      <c r="BL410" t="s">
        <v>477</v>
      </c>
      <c r="BM410" t="s">
        <v>6112</v>
      </c>
      <c r="BN410" t="s">
        <v>74</v>
      </c>
      <c r="BO410" t="s">
        <v>74</v>
      </c>
      <c r="BP410" t="s">
        <v>74</v>
      </c>
      <c r="BQ410" t="s">
        <v>74</v>
      </c>
      <c r="BR410" t="s">
        <v>99</v>
      </c>
      <c r="BS410" t="s">
        <v>6209</v>
      </c>
      <c r="BT410" t="str">
        <f>HYPERLINK("https%3A%2F%2Fwww.webofscience.com%2Fwos%2Fwoscc%2Ffull-record%2FWOS:000225496900010","View Full Record in Web of Science")</f>
        <v>View Full Record in Web of Science</v>
      </c>
    </row>
    <row r="411" spans="1:72" x14ac:dyDescent="0.15">
      <c r="A411" t="s">
        <v>72</v>
      </c>
      <c r="B411" t="s">
        <v>6210</v>
      </c>
      <c r="C411" t="s">
        <v>74</v>
      </c>
      <c r="D411" t="s">
        <v>74</v>
      </c>
      <c r="E411" t="s">
        <v>74</v>
      </c>
      <c r="F411" t="s">
        <v>6210</v>
      </c>
      <c r="G411" t="s">
        <v>74</v>
      </c>
      <c r="H411" t="s">
        <v>74</v>
      </c>
      <c r="I411" t="s">
        <v>6211</v>
      </c>
      <c r="J411" t="s">
        <v>6078</v>
      </c>
      <c r="K411" t="s">
        <v>74</v>
      </c>
      <c r="L411" t="s">
        <v>74</v>
      </c>
      <c r="M411" t="s">
        <v>77</v>
      </c>
      <c r="N411" t="s">
        <v>78</v>
      </c>
      <c r="O411" t="s">
        <v>74</v>
      </c>
      <c r="P411" t="s">
        <v>74</v>
      </c>
      <c r="Q411" t="s">
        <v>74</v>
      </c>
      <c r="R411" t="s">
        <v>74</v>
      </c>
      <c r="S411" t="s">
        <v>74</v>
      </c>
      <c r="T411" t="s">
        <v>74</v>
      </c>
      <c r="U411" t="s">
        <v>6212</v>
      </c>
      <c r="V411" t="s">
        <v>6213</v>
      </c>
      <c r="W411" t="s">
        <v>6214</v>
      </c>
      <c r="X411" t="s">
        <v>6215</v>
      </c>
      <c r="Y411" t="s">
        <v>6216</v>
      </c>
      <c r="Z411" t="s">
        <v>6217</v>
      </c>
      <c r="AA411" t="s">
        <v>6143</v>
      </c>
      <c r="AB411" t="s">
        <v>6144</v>
      </c>
      <c r="AC411" t="s">
        <v>74</v>
      </c>
      <c r="AD411" t="s">
        <v>74</v>
      </c>
      <c r="AE411" t="s">
        <v>74</v>
      </c>
      <c r="AF411" t="s">
        <v>74</v>
      </c>
      <c r="AG411">
        <v>30</v>
      </c>
      <c r="AH411">
        <v>23</v>
      </c>
      <c r="AI411">
        <v>25</v>
      </c>
      <c r="AJ411">
        <v>0</v>
      </c>
      <c r="AK411">
        <v>11</v>
      </c>
      <c r="AL411" t="s">
        <v>213</v>
      </c>
      <c r="AM411" t="s">
        <v>214</v>
      </c>
      <c r="AN411" t="s">
        <v>215</v>
      </c>
      <c r="AO411" t="s">
        <v>6083</v>
      </c>
      <c r="AP411" t="s">
        <v>74</v>
      </c>
      <c r="AQ411" t="s">
        <v>74</v>
      </c>
      <c r="AR411" t="s">
        <v>6085</v>
      </c>
      <c r="AS411" t="s">
        <v>6086</v>
      </c>
      <c r="AT411" t="s">
        <v>74</v>
      </c>
      <c r="AU411">
        <v>2004</v>
      </c>
      <c r="AV411">
        <v>51</v>
      </c>
      <c r="AW411" t="s">
        <v>6110</v>
      </c>
      <c r="AX411" t="s">
        <v>74</v>
      </c>
      <c r="AY411" t="s">
        <v>74</v>
      </c>
      <c r="AZ411" t="s">
        <v>74</v>
      </c>
      <c r="BA411" t="s">
        <v>74</v>
      </c>
      <c r="BB411">
        <v>1369</v>
      </c>
      <c r="BC411">
        <v>1381</v>
      </c>
      <c r="BD411" t="s">
        <v>74</v>
      </c>
      <c r="BE411" t="s">
        <v>6218</v>
      </c>
      <c r="BF411" t="str">
        <f>HYPERLINK("http://dx.doi.org/10.1016/j.dsr2.2004.06.017","http://dx.doi.org/10.1016/j.dsr2.2004.06.017")</f>
        <v>http://dx.doi.org/10.1016/j.dsr2.2004.06.017</v>
      </c>
      <c r="BG411" t="s">
        <v>74</v>
      </c>
      <c r="BH411" t="s">
        <v>74</v>
      </c>
      <c r="BI411">
        <v>13</v>
      </c>
      <c r="BJ411" t="s">
        <v>477</v>
      </c>
      <c r="BK411" t="s">
        <v>96</v>
      </c>
      <c r="BL411" t="s">
        <v>477</v>
      </c>
      <c r="BM411" t="s">
        <v>6112</v>
      </c>
      <c r="BN411" t="s">
        <v>74</v>
      </c>
      <c r="BO411" t="s">
        <v>74</v>
      </c>
      <c r="BP411" t="s">
        <v>74</v>
      </c>
      <c r="BQ411" t="s">
        <v>74</v>
      </c>
      <c r="BR411" t="s">
        <v>99</v>
      </c>
      <c r="BS411" t="s">
        <v>6219</v>
      </c>
      <c r="BT411" t="str">
        <f>HYPERLINK("https%3A%2F%2Fwww.webofscience.com%2Fwos%2Fwoscc%2Ffull-record%2FWOS:000225496900011","View Full Record in Web of Science")</f>
        <v>View Full Record in Web of Science</v>
      </c>
    </row>
    <row r="412" spans="1:72" x14ac:dyDescent="0.15">
      <c r="A412" t="s">
        <v>72</v>
      </c>
      <c r="B412" t="s">
        <v>6220</v>
      </c>
      <c r="C412" t="s">
        <v>74</v>
      </c>
      <c r="D412" t="s">
        <v>74</v>
      </c>
      <c r="E412" t="s">
        <v>74</v>
      </c>
      <c r="F412" t="s">
        <v>6220</v>
      </c>
      <c r="G412" t="s">
        <v>74</v>
      </c>
      <c r="H412" t="s">
        <v>74</v>
      </c>
      <c r="I412" t="s">
        <v>6221</v>
      </c>
      <c r="J412" t="s">
        <v>6078</v>
      </c>
      <c r="K412" t="s">
        <v>74</v>
      </c>
      <c r="L412" t="s">
        <v>74</v>
      </c>
      <c r="M412" t="s">
        <v>77</v>
      </c>
      <c r="N412" t="s">
        <v>78</v>
      </c>
      <c r="O412" t="s">
        <v>74</v>
      </c>
      <c r="P412" t="s">
        <v>74</v>
      </c>
      <c r="Q412" t="s">
        <v>74</v>
      </c>
      <c r="R412" t="s">
        <v>74</v>
      </c>
      <c r="S412" t="s">
        <v>74</v>
      </c>
      <c r="T412" t="s">
        <v>74</v>
      </c>
      <c r="U412" t="s">
        <v>6222</v>
      </c>
      <c r="V412" t="s">
        <v>6223</v>
      </c>
      <c r="W412" t="s">
        <v>6224</v>
      </c>
      <c r="X412" t="s">
        <v>82</v>
      </c>
      <c r="Y412" t="s">
        <v>6153</v>
      </c>
      <c r="Z412" t="s">
        <v>84</v>
      </c>
      <c r="AA412" t="s">
        <v>6225</v>
      </c>
      <c r="AB412" t="s">
        <v>74</v>
      </c>
      <c r="AC412" t="s">
        <v>74</v>
      </c>
      <c r="AD412" t="s">
        <v>74</v>
      </c>
      <c r="AE412" t="s">
        <v>74</v>
      </c>
      <c r="AF412" t="s">
        <v>74</v>
      </c>
      <c r="AG412">
        <v>29</v>
      </c>
      <c r="AH412">
        <v>38</v>
      </c>
      <c r="AI412">
        <v>44</v>
      </c>
      <c r="AJ412">
        <v>0</v>
      </c>
      <c r="AK412">
        <v>17</v>
      </c>
      <c r="AL412" t="s">
        <v>213</v>
      </c>
      <c r="AM412" t="s">
        <v>214</v>
      </c>
      <c r="AN412" t="s">
        <v>215</v>
      </c>
      <c r="AO412" t="s">
        <v>6083</v>
      </c>
      <c r="AP412" t="s">
        <v>74</v>
      </c>
      <c r="AQ412" t="s">
        <v>74</v>
      </c>
      <c r="AR412" t="s">
        <v>6085</v>
      </c>
      <c r="AS412" t="s">
        <v>6086</v>
      </c>
      <c r="AT412" t="s">
        <v>74</v>
      </c>
      <c r="AU412">
        <v>2004</v>
      </c>
      <c r="AV412">
        <v>51</v>
      </c>
      <c r="AW412" t="s">
        <v>6110</v>
      </c>
      <c r="AX412" t="s">
        <v>74</v>
      </c>
      <c r="AY412" t="s">
        <v>74</v>
      </c>
      <c r="AZ412" t="s">
        <v>74</v>
      </c>
      <c r="BA412" t="s">
        <v>74</v>
      </c>
      <c r="BB412">
        <v>1383</v>
      </c>
      <c r="BC412">
        <v>1396</v>
      </c>
      <c r="BD412" t="s">
        <v>74</v>
      </c>
      <c r="BE412" t="s">
        <v>6226</v>
      </c>
      <c r="BF412" t="str">
        <f>HYPERLINK("http://dx.doi.org/10.1016/j.dsr2.2004.06.007","http://dx.doi.org/10.1016/j.dsr2.2004.06.007")</f>
        <v>http://dx.doi.org/10.1016/j.dsr2.2004.06.007</v>
      </c>
      <c r="BG412" t="s">
        <v>74</v>
      </c>
      <c r="BH412" t="s">
        <v>74</v>
      </c>
      <c r="BI412">
        <v>14</v>
      </c>
      <c r="BJ412" t="s">
        <v>477</v>
      </c>
      <c r="BK412" t="s">
        <v>96</v>
      </c>
      <c r="BL412" t="s">
        <v>477</v>
      </c>
      <c r="BM412" t="s">
        <v>6112</v>
      </c>
      <c r="BN412" t="s">
        <v>74</v>
      </c>
      <c r="BO412" t="s">
        <v>74</v>
      </c>
      <c r="BP412" t="s">
        <v>74</v>
      </c>
      <c r="BQ412" t="s">
        <v>74</v>
      </c>
      <c r="BR412" t="s">
        <v>99</v>
      </c>
      <c r="BS412" t="s">
        <v>6227</v>
      </c>
      <c r="BT412" t="str">
        <f>HYPERLINK("https%3A%2F%2Fwww.webofscience.com%2Fwos%2Fwoscc%2Ffull-record%2FWOS:000225496900012","View Full Record in Web of Science")</f>
        <v>View Full Record in Web of Science</v>
      </c>
    </row>
    <row r="413" spans="1:72" x14ac:dyDescent="0.15">
      <c r="A413" t="s">
        <v>72</v>
      </c>
      <c r="B413" t="s">
        <v>6228</v>
      </c>
      <c r="C413" t="s">
        <v>74</v>
      </c>
      <c r="D413" t="s">
        <v>74</v>
      </c>
      <c r="E413" t="s">
        <v>74</v>
      </c>
      <c r="F413" t="s">
        <v>6228</v>
      </c>
      <c r="G413" t="s">
        <v>74</v>
      </c>
      <c r="H413" t="s">
        <v>74</v>
      </c>
      <c r="I413" t="s">
        <v>6229</v>
      </c>
      <c r="J413" t="s">
        <v>6078</v>
      </c>
      <c r="K413" t="s">
        <v>74</v>
      </c>
      <c r="L413" t="s">
        <v>74</v>
      </c>
      <c r="M413" t="s">
        <v>77</v>
      </c>
      <c r="N413" t="s">
        <v>78</v>
      </c>
      <c r="O413" t="s">
        <v>74</v>
      </c>
      <c r="P413" t="s">
        <v>74</v>
      </c>
      <c r="Q413" t="s">
        <v>74</v>
      </c>
      <c r="R413" t="s">
        <v>74</v>
      </c>
      <c r="S413" t="s">
        <v>74</v>
      </c>
      <c r="T413" t="s">
        <v>74</v>
      </c>
      <c r="U413" t="s">
        <v>6230</v>
      </c>
      <c r="V413" t="s">
        <v>6231</v>
      </c>
      <c r="W413" t="s">
        <v>6232</v>
      </c>
      <c r="X413" t="s">
        <v>6233</v>
      </c>
      <c r="Y413" t="s">
        <v>6234</v>
      </c>
      <c r="Z413" t="s">
        <v>6235</v>
      </c>
      <c r="AA413" t="s">
        <v>74</v>
      </c>
      <c r="AB413" t="s">
        <v>74</v>
      </c>
      <c r="AC413" t="s">
        <v>74</v>
      </c>
      <c r="AD413" t="s">
        <v>74</v>
      </c>
      <c r="AE413" t="s">
        <v>74</v>
      </c>
      <c r="AF413" t="s">
        <v>74</v>
      </c>
      <c r="AG413">
        <v>29</v>
      </c>
      <c r="AH413">
        <v>75</v>
      </c>
      <c r="AI413">
        <v>88</v>
      </c>
      <c r="AJ413">
        <v>0</v>
      </c>
      <c r="AK413">
        <v>15</v>
      </c>
      <c r="AL413" t="s">
        <v>213</v>
      </c>
      <c r="AM413" t="s">
        <v>214</v>
      </c>
      <c r="AN413" t="s">
        <v>215</v>
      </c>
      <c r="AO413" t="s">
        <v>6083</v>
      </c>
      <c r="AP413" t="s">
        <v>74</v>
      </c>
      <c r="AQ413" t="s">
        <v>74</v>
      </c>
      <c r="AR413" t="s">
        <v>6085</v>
      </c>
      <c r="AS413" t="s">
        <v>6086</v>
      </c>
      <c r="AT413" t="s">
        <v>74</v>
      </c>
      <c r="AU413">
        <v>2004</v>
      </c>
      <c r="AV413">
        <v>51</v>
      </c>
      <c r="AW413" t="s">
        <v>6110</v>
      </c>
      <c r="AX413" t="s">
        <v>74</v>
      </c>
      <c r="AY413" t="s">
        <v>74</v>
      </c>
      <c r="AZ413" t="s">
        <v>74</v>
      </c>
      <c r="BA413" t="s">
        <v>74</v>
      </c>
      <c r="BB413">
        <v>1397</v>
      </c>
      <c r="BC413">
        <v>1409</v>
      </c>
      <c r="BD413" t="s">
        <v>74</v>
      </c>
      <c r="BE413" t="s">
        <v>6236</v>
      </c>
      <c r="BF413" t="str">
        <f>HYPERLINK("http://dx.doi.org/10.1016/j/dsr2.2004.06.008","http://dx.doi.org/10.1016/j/dsr2.2004.06.008")</f>
        <v>http://dx.doi.org/10.1016/j/dsr2.2004.06.008</v>
      </c>
      <c r="BG413" t="s">
        <v>74</v>
      </c>
      <c r="BH413" t="s">
        <v>74</v>
      </c>
      <c r="BI413">
        <v>13</v>
      </c>
      <c r="BJ413" t="s">
        <v>477</v>
      </c>
      <c r="BK413" t="s">
        <v>96</v>
      </c>
      <c r="BL413" t="s">
        <v>477</v>
      </c>
      <c r="BM413" t="s">
        <v>6112</v>
      </c>
      <c r="BN413" t="s">
        <v>74</v>
      </c>
      <c r="BO413" t="s">
        <v>74</v>
      </c>
      <c r="BP413" t="s">
        <v>74</v>
      </c>
      <c r="BQ413" t="s">
        <v>74</v>
      </c>
      <c r="BR413" t="s">
        <v>99</v>
      </c>
      <c r="BS413" t="s">
        <v>6237</v>
      </c>
      <c r="BT413" t="str">
        <f>HYPERLINK("https%3A%2F%2Fwww.webofscience.com%2Fwos%2Fwoscc%2Ffull-record%2FWOS:000225496900013","View Full Record in Web of Science")</f>
        <v>View Full Record in Web of Science</v>
      </c>
    </row>
    <row r="414" spans="1:72" x14ac:dyDescent="0.15">
      <c r="A414" t="s">
        <v>72</v>
      </c>
      <c r="B414" t="s">
        <v>6238</v>
      </c>
      <c r="C414" t="s">
        <v>74</v>
      </c>
      <c r="D414" t="s">
        <v>74</v>
      </c>
      <c r="E414" t="s">
        <v>74</v>
      </c>
      <c r="F414" t="s">
        <v>6238</v>
      </c>
      <c r="G414" t="s">
        <v>74</v>
      </c>
      <c r="H414" t="s">
        <v>74</v>
      </c>
      <c r="I414" t="s">
        <v>6239</v>
      </c>
      <c r="J414" t="s">
        <v>6078</v>
      </c>
      <c r="K414" t="s">
        <v>74</v>
      </c>
      <c r="L414" t="s">
        <v>74</v>
      </c>
      <c r="M414" t="s">
        <v>77</v>
      </c>
      <c r="N414" t="s">
        <v>78</v>
      </c>
      <c r="O414" t="s">
        <v>74</v>
      </c>
      <c r="P414" t="s">
        <v>74</v>
      </c>
      <c r="Q414" t="s">
        <v>74</v>
      </c>
      <c r="R414" t="s">
        <v>74</v>
      </c>
      <c r="S414" t="s">
        <v>74</v>
      </c>
      <c r="T414" t="s">
        <v>74</v>
      </c>
      <c r="U414" t="s">
        <v>6240</v>
      </c>
      <c r="V414" t="s">
        <v>6241</v>
      </c>
      <c r="W414" t="s">
        <v>6242</v>
      </c>
      <c r="X414" t="s">
        <v>6243</v>
      </c>
      <c r="Y414" t="s">
        <v>6244</v>
      </c>
      <c r="Z414" t="s">
        <v>6245</v>
      </c>
      <c r="AA414" t="s">
        <v>6246</v>
      </c>
      <c r="AB414" t="s">
        <v>6247</v>
      </c>
      <c r="AC414" t="s">
        <v>74</v>
      </c>
      <c r="AD414" t="s">
        <v>74</v>
      </c>
      <c r="AE414" t="s">
        <v>74</v>
      </c>
      <c r="AF414" t="s">
        <v>74</v>
      </c>
      <c r="AG414">
        <v>31</v>
      </c>
      <c r="AH414">
        <v>14</v>
      </c>
      <c r="AI414">
        <v>17</v>
      </c>
      <c r="AJ414">
        <v>0</v>
      </c>
      <c r="AK414">
        <v>8</v>
      </c>
      <c r="AL414" t="s">
        <v>213</v>
      </c>
      <c r="AM414" t="s">
        <v>214</v>
      </c>
      <c r="AN414" t="s">
        <v>215</v>
      </c>
      <c r="AO414" t="s">
        <v>6083</v>
      </c>
      <c r="AP414" t="s">
        <v>6084</v>
      </c>
      <c r="AQ414" t="s">
        <v>74</v>
      </c>
      <c r="AR414" t="s">
        <v>6085</v>
      </c>
      <c r="AS414" t="s">
        <v>6086</v>
      </c>
      <c r="AT414" t="s">
        <v>74</v>
      </c>
      <c r="AU414">
        <v>2004</v>
      </c>
      <c r="AV414">
        <v>51</v>
      </c>
      <c r="AW414" t="s">
        <v>6110</v>
      </c>
      <c r="AX414" t="s">
        <v>74</v>
      </c>
      <c r="AY414" t="s">
        <v>74</v>
      </c>
      <c r="AZ414" t="s">
        <v>74</v>
      </c>
      <c r="BA414" t="s">
        <v>74</v>
      </c>
      <c r="BB414">
        <v>1411</v>
      </c>
      <c r="BC414">
        <v>1419</v>
      </c>
      <c r="BD414" t="s">
        <v>74</v>
      </c>
      <c r="BE414" t="s">
        <v>6248</v>
      </c>
      <c r="BF414" t="str">
        <f>HYPERLINK("http://dx.doi.org/10.1016/j.dsr2.2004.06.018","http://dx.doi.org/10.1016/j.dsr2.2004.06.018")</f>
        <v>http://dx.doi.org/10.1016/j.dsr2.2004.06.018</v>
      </c>
      <c r="BG414" t="s">
        <v>74</v>
      </c>
      <c r="BH414" t="s">
        <v>74</v>
      </c>
      <c r="BI414">
        <v>9</v>
      </c>
      <c r="BJ414" t="s">
        <v>477</v>
      </c>
      <c r="BK414" t="s">
        <v>96</v>
      </c>
      <c r="BL414" t="s">
        <v>477</v>
      </c>
      <c r="BM414" t="s">
        <v>6112</v>
      </c>
      <c r="BN414" t="s">
        <v>74</v>
      </c>
      <c r="BO414" t="s">
        <v>74</v>
      </c>
      <c r="BP414" t="s">
        <v>74</v>
      </c>
      <c r="BQ414" t="s">
        <v>74</v>
      </c>
      <c r="BR414" t="s">
        <v>99</v>
      </c>
      <c r="BS414" t="s">
        <v>6249</v>
      </c>
      <c r="BT414" t="str">
        <f>HYPERLINK("https%3A%2F%2Fwww.webofscience.com%2Fwos%2Fwoscc%2Ffull-record%2FWOS:000225496900014","View Full Record in Web of Science")</f>
        <v>View Full Record in Web of Science</v>
      </c>
    </row>
    <row r="415" spans="1:72" x14ac:dyDescent="0.15">
      <c r="A415" t="s">
        <v>72</v>
      </c>
      <c r="B415" t="s">
        <v>6250</v>
      </c>
      <c r="C415" t="s">
        <v>74</v>
      </c>
      <c r="D415" t="s">
        <v>74</v>
      </c>
      <c r="E415" t="s">
        <v>74</v>
      </c>
      <c r="F415" t="s">
        <v>6250</v>
      </c>
      <c r="G415" t="s">
        <v>74</v>
      </c>
      <c r="H415" t="s">
        <v>74</v>
      </c>
      <c r="I415" t="s">
        <v>6251</v>
      </c>
      <c r="J415" t="s">
        <v>6078</v>
      </c>
      <c r="K415" t="s">
        <v>74</v>
      </c>
      <c r="L415" t="s">
        <v>74</v>
      </c>
      <c r="M415" t="s">
        <v>77</v>
      </c>
      <c r="N415" t="s">
        <v>78</v>
      </c>
      <c r="O415" t="s">
        <v>74</v>
      </c>
      <c r="P415" t="s">
        <v>74</v>
      </c>
      <c r="Q415" t="s">
        <v>74</v>
      </c>
      <c r="R415" t="s">
        <v>74</v>
      </c>
      <c r="S415" t="s">
        <v>74</v>
      </c>
      <c r="T415" t="s">
        <v>74</v>
      </c>
      <c r="U415" t="s">
        <v>6252</v>
      </c>
      <c r="V415" t="s">
        <v>6253</v>
      </c>
      <c r="W415" t="s">
        <v>6254</v>
      </c>
      <c r="X415" t="s">
        <v>5754</v>
      </c>
      <c r="Y415" t="s">
        <v>6081</v>
      </c>
      <c r="Z415" t="s">
        <v>6255</v>
      </c>
      <c r="AA415" t="s">
        <v>3485</v>
      </c>
      <c r="AB415" t="s">
        <v>6256</v>
      </c>
      <c r="AC415" t="s">
        <v>74</v>
      </c>
      <c r="AD415" t="s">
        <v>74</v>
      </c>
      <c r="AE415" t="s">
        <v>74</v>
      </c>
      <c r="AF415" t="s">
        <v>74</v>
      </c>
      <c r="AG415">
        <v>61</v>
      </c>
      <c r="AH415">
        <v>88</v>
      </c>
      <c r="AI415">
        <v>98</v>
      </c>
      <c r="AJ415">
        <v>1</v>
      </c>
      <c r="AK415">
        <v>18</v>
      </c>
      <c r="AL415" t="s">
        <v>213</v>
      </c>
      <c r="AM415" t="s">
        <v>214</v>
      </c>
      <c r="AN415" t="s">
        <v>215</v>
      </c>
      <c r="AO415" t="s">
        <v>6083</v>
      </c>
      <c r="AP415" t="s">
        <v>6084</v>
      </c>
      <c r="AQ415" t="s">
        <v>74</v>
      </c>
      <c r="AR415" t="s">
        <v>6085</v>
      </c>
      <c r="AS415" t="s">
        <v>6086</v>
      </c>
      <c r="AT415" t="s">
        <v>74</v>
      </c>
      <c r="AU415">
        <v>2004</v>
      </c>
      <c r="AV415">
        <v>51</v>
      </c>
      <c r="AW415" t="s">
        <v>6110</v>
      </c>
      <c r="AX415" t="s">
        <v>74</v>
      </c>
      <c r="AY415" t="s">
        <v>74</v>
      </c>
      <c r="AZ415" t="s">
        <v>74</v>
      </c>
      <c r="BA415" t="s">
        <v>74</v>
      </c>
      <c r="BB415">
        <v>1435</v>
      </c>
      <c r="BC415">
        <v>1456</v>
      </c>
      <c r="BD415" t="s">
        <v>74</v>
      </c>
      <c r="BE415" t="s">
        <v>6257</v>
      </c>
      <c r="BF415" t="str">
        <f>HYPERLINK("http://dx.doi.org/10.1016/j.dsr2.2004.06.019","http://dx.doi.org/10.1016/j.dsr2.2004.06.019")</f>
        <v>http://dx.doi.org/10.1016/j.dsr2.2004.06.019</v>
      </c>
      <c r="BG415" t="s">
        <v>74</v>
      </c>
      <c r="BH415" t="s">
        <v>74</v>
      </c>
      <c r="BI415">
        <v>22</v>
      </c>
      <c r="BJ415" t="s">
        <v>477</v>
      </c>
      <c r="BK415" t="s">
        <v>96</v>
      </c>
      <c r="BL415" t="s">
        <v>477</v>
      </c>
      <c r="BM415" t="s">
        <v>6112</v>
      </c>
      <c r="BN415" t="s">
        <v>74</v>
      </c>
      <c r="BO415" t="s">
        <v>74</v>
      </c>
      <c r="BP415" t="s">
        <v>74</v>
      </c>
      <c r="BQ415" t="s">
        <v>74</v>
      </c>
      <c r="BR415" t="s">
        <v>99</v>
      </c>
      <c r="BS415" t="s">
        <v>6258</v>
      </c>
      <c r="BT415" t="str">
        <f>HYPERLINK("https%3A%2F%2Fwww.webofscience.com%2Fwos%2Fwoscc%2Ffull-record%2FWOS:000225496900016","View Full Record in Web of Science")</f>
        <v>View Full Record in Web of Science</v>
      </c>
    </row>
    <row r="416" spans="1:72" x14ac:dyDescent="0.15">
      <c r="A416" t="s">
        <v>72</v>
      </c>
      <c r="B416" t="s">
        <v>6259</v>
      </c>
      <c r="C416" t="s">
        <v>74</v>
      </c>
      <c r="D416" t="s">
        <v>74</v>
      </c>
      <c r="E416" t="s">
        <v>74</v>
      </c>
      <c r="F416" t="s">
        <v>6259</v>
      </c>
      <c r="G416" t="s">
        <v>74</v>
      </c>
      <c r="H416" t="s">
        <v>74</v>
      </c>
      <c r="I416" t="s">
        <v>6260</v>
      </c>
      <c r="J416" t="s">
        <v>6078</v>
      </c>
      <c r="K416" t="s">
        <v>74</v>
      </c>
      <c r="L416" t="s">
        <v>74</v>
      </c>
      <c r="M416" t="s">
        <v>77</v>
      </c>
      <c r="N416" t="s">
        <v>822</v>
      </c>
      <c r="O416" t="s">
        <v>74</v>
      </c>
      <c r="P416" t="s">
        <v>74</v>
      </c>
      <c r="Q416" t="s">
        <v>74</v>
      </c>
      <c r="R416" t="s">
        <v>74</v>
      </c>
      <c r="S416" t="s">
        <v>74</v>
      </c>
      <c r="T416" t="s">
        <v>74</v>
      </c>
      <c r="U416" t="s">
        <v>6261</v>
      </c>
      <c r="V416" t="s">
        <v>6262</v>
      </c>
      <c r="W416" t="s">
        <v>6263</v>
      </c>
      <c r="X416" t="s">
        <v>6264</v>
      </c>
      <c r="Y416" t="s">
        <v>962</v>
      </c>
      <c r="Z416" t="s">
        <v>963</v>
      </c>
      <c r="AA416" t="s">
        <v>6265</v>
      </c>
      <c r="AB416" t="s">
        <v>6266</v>
      </c>
      <c r="AC416" t="s">
        <v>74</v>
      </c>
      <c r="AD416" t="s">
        <v>74</v>
      </c>
      <c r="AE416" t="s">
        <v>74</v>
      </c>
      <c r="AF416" t="s">
        <v>74</v>
      </c>
      <c r="AG416">
        <v>20</v>
      </c>
      <c r="AH416">
        <v>71</v>
      </c>
      <c r="AI416">
        <v>83</v>
      </c>
      <c r="AJ416">
        <v>0</v>
      </c>
      <c r="AK416">
        <v>8</v>
      </c>
      <c r="AL416" t="s">
        <v>213</v>
      </c>
      <c r="AM416" t="s">
        <v>214</v>
      </c>
      <c r="AN416" t="s">
        <v>215</v>
      </c>
      <c r="AO416" t="s">
        <v>6083</v>
      </c>
      <c r="AP416" t="s">
        <v>6084</v>
      </c>
      <c r="AQ416" t="s">
        <v>74</v>
      </c>
      <c r="AR416" t="s">
        <v>6085</v>
      </c>
      <c r="AS416" t="s">
        <v>6086</v>
      </c>
      <c r="AT416" t="s">
        <v>74</v>
      </c>
      <c r="AU416">
        <v>2004</v>
      </c>
      <c r="AV416">
        <v>51</v>
      </c>
      <c r="AW416" t="s">
        <v>6267</v>
      </c>
      <c r="AX416" t="s">
        <v>74</v>
      </c>
      <c r="AY416" t="s">
        <v>74</v>
      </c>
      <c r="AZ416" t="s">
        <v>74</v>
      </c>
      <c r="BA416" t="s">
        <v>74</v>
      </c>
      <c r="BB416">
        <v>1457</v>
      </c>
      <c r="BC416">
        <v>1465</v>
      </c>
      <c r="BD416" t="s">
        <v>74</v>
      </c>
      <c r="BE416" t="s">
        <v>6268</v>
      </c>
      <c r="BF416" t="str">
        <f>HYPERLINK("http://dx.doi.org/10.1016/j.dsr2.2004.08.006","http://dx.doi.org/10.1016/j.dsr2.2004.08.006")</f>
        <v>http://dx.doi.org/10.1016/j.dsr2.2004.08.006</v>
      </c>
      <c r="BG416" t="s">
        <v>74</v>
      </c>
      <c r="BH416" t="s">
        <v>74</v>
      </c>
      <c r="BI416">
        <v>9</v>
      </c>
      <c r="BJ416" t="s">
        <v>477</v>
      </c>
      <c r="BK416" t="s">
        <v>96</v>
      </c>
      <c r="BL416" t="s">
        <v>477</v>
      </c>
      <c r="BM416" t="s">
        <v>6269</v>
      </c>
      <c r="BN416" t="s">
        <v>74</v>
      </c>
      <c r="BO416" t="s">
        <v>74</v>
      </c>
      <c r="BP416" t="s">
        <v>74</v>
      </c>
      <c r="BQ416" t="s">
        <v>74</v>
      </c>
      <c r="BR416" t="s">
        <v>99</v>
      </c>
      <c r="BS416" t="s">
        <v>6270</v>
      </c>
      <c r="BT416" t="str">
        <f>HYPERLINK("https%3A%2F%2Fwww.webofscience.com%2Fwos%2Fwoscc%2Ffull-record%2FWOS:000225890600001","View Full Record in Web of Science")</f>
        <v>View Full Record in Web of Science</v>
      </c>
    </row>
    <row r="417" spans="1:72" x14ac:dyDescent="0.15">
      <c r="A417" t="s">
        <v>72</v>
      </c>
      <c r="B417" t="s">
        <v>6271</v>
      </c>
      <c r="C417" t="s">
        <v>74</v>
      </c>
      <c r="D417" t="s">
        <v>74</v>
      </c>
      <c r="E417" t="s">
        <v>74</v>
      </c>
      <c r="F417" t="s">
        <v>6271</v>
      </c>
      <c r="G417" t="s">
        <v>74</v>
      </c>
      <c r="H417" t="s">
        <v>74</v>
      </c>
      <c r="I417" t="s">
        <v>6272</v>
      </c>
      <c r="J417" t="s">
        <v>6078</v>
      </c>
      <c r="K417" t="s">
        <v>74</v>
      </c>
      <c r="L417" t="s">
        <v>74</v>
      </c>
      <c r="M417" t="s">
        <v>77</v>
      </c>
      <c r="N417" t="s">
        <v>268</v>
      </c>
      <c r="O417" t="s">
        <v>74</v>
      </c>
      <c r="P417" t="s">
        <v>74</v>
      </c>
      <c r="Q417" t="s">
        <v>74</v>
      </c>
      <c r="R417" t="s">
        <v>74</v>
      </c>
      <c r="S417" t="s">
        <v>74</v>
      </c>
      <c r="T417" t="s">
        <v>74</v>
      </c>
      <c r="U417" t="s">
        <v>6273</v>
      </c>
      <c r="V417" t="s">
        <v>6274</v>
      </c>
      <c r="W417" t="s">
        <v>6275</v>
      </c>
      <c r="X417" t="s">
        <v>6276</v>
      </c>
      <c r="Y417" t="s">
        <v>6277</v>
      </c>
      <c r="Z417" t="s">
        <v>6278</v>
      </c>
      <c r="AA417" t="s">
        <v>74</v>
      </c>
      <c r="AB417" t="s">
        <v>74</v>
      </c>
      <c r="AC417" t="s">
        <v>74</v>
      </c>
      <c r="AD417" t="s">
        <v>74</v>
      </c>
      <c r="AE417" t="s">
        <v>74</v>
      </c>
      <c r="AF417" t="s">
        <v>74</v>
      </c>
      <c r="AG417">
        <v>81</v>
      </c>
      <c r="AH417">
        <v>48</v>
      </c>
      <c r="AI417">
        <v>49</v>
      </c>
      <c r="AJ417">
        <v>2</v>
      </c>
      <c r="AK417">
        <v>5</v>
      </c>
      <c r="AL417" t="s">
        <v>213</v>
      </c>
      <c r="AM417" t="s">
        <v>214</v>
      </c>
      <c r="AN417" t="s">
        <v>215</v>
      </c>
      <c r="AO417" t="s">
        <v>6083</v>
      </c>
      <c r="AP417" t="s">
        <v>74</v>
      </c>
      <c r="AQ417" t="s">
        <v>74</v>
      </c>
      <c r="AR417" t="s">
        <v>6085</v>
      </c>
      <c r="AS417" t="s">
        <v>6086</v>
      </c>
      <c r="AT417" t="s">
        <v>74</v>
      </c>
      <c r="AU417">
        <v>2004</v>
      </c>
      <c r="AV417">
        <v>51</v>
      </c>
      <c r="AW417" t="s">
        <v>6267</v>
      </c>
      <c r="AX417" t="s">
        <v>74</v>
      </c>
      <c r="AY417" t="s">
        <v>74</v>
      </c>
      <c r="AZ417" t="s">
        <v>74</v>
      </c>
      <c r="BA417" t="s">
        <v>74</v>
      </c>
      <c r="BB417">
        <v>1467</v>
      </c>
      <c r="BC417">
        <v>1487</v>
      </c>
      <c r="BD417" t="s">
        <v>74</v>
      </c>
      <c r="BE417" t="s">
        <v>6279</v>
      </c>
      <c r="BF417" t="str">
        <f>HYPERLINK("http://dx.doi.org/10.1016/j.dsr2.2004.06.021","http://dx.doi.org/10.1016/j.dsr2.2004.06.021")</f>
        <v>http://dx.doi.org/10.1016/j.dsr2.2004.06.021</v>
      </c>
      <c r="BG417" t="s">
        <v>74</v>
      </c>
      <c r="BH417" t="s">
        <v>74</v>
      </c>
      <c r="BI417">
        <v>21</v>
      </c>
      <c r="BJ417" t="s">
        <v>477</v>
      </c>
      <c r="BK417" t="s">
        <v>96</v>
      </c>
      <c r="BL417" t="s">
        <v>477</v>
      </c>
      <c r="BM417" t="s">
        <v>6269</v>
      </c>
      <c r="BN417" t="s">
        <v>74</v>
      </c>
      <c r="BO417" t="s">
        <v>74</v>
      </c>
      <c r="BP417" t="s">
        <v>74</v>
      </c>
      <c r="BQ417" t="s">
        <v>74</v>
      </c>
      <c r="BR417" t="s">
        <v>99</v>
      </c>
      <c r="BS417" t="s">
        <v>6280</v>
      </c>
      <c r="BT417" t="str">
        <f>HYPERLINK("https%3A%2F%2Fwww.webofscience.com%2Fwos%2Fwoscc%2Ffull-record%2FWOS:000225890600002","View Full Record in Web of Science")</f>
        <v>View Full Record in Web of Science</v>
      </c>
    </row>
    <row r="418" spans="1:72" x14ac:dyDescent="0.15">
      <c r="A418" t="s">
        <v>72</v>
      </c>
      <c r="B418" t="s">
        <v>6281</v>
      </c>
      <c r="C418" t="s">
        <v>74</v>
      </c>
      <c r="D418" t="s">
        <v>74</v>
      </c>
      <c r="E418" t="s">
        <v>74</v>
      </c>
      <c r="F418" t="s">
        <v>6281</v>
      </c>
      <c r="G418" t="s">
        <v>74</v>
      </c>
      <c r="H418" t="s">
        <v>74</v>
      </c>
      <c r="I418" t="s">
        <v>6282</v>
      </c>
      <c r="J418" t="s">
        <v>6078</v>
      </c>
      <c r="K418" t="s">
        <v>74</v>
      </c>
      <c r="L418" t="s">
        <v>74</v>
      </c>
      <c r="M418" t="s">
        <v>77</v>
      </c>
      <c r="N418" t="s">
        <v>78</v>
      </c>
      <c r="O418" t="s">
        <v>74</v>
      </c>
      <c r="P418" t="s">
        <v>74</v>
      </c>
      <c r="Q418" t="s">
        <v>74</v>
      </c>
      <c r="R418" t="s">
        <v>74</v>
      </c>
      <c r="S418" t="s">
        <v>74</v>
      </c>
      <c r="T418" t="s">
        <v>74</v>
      </c>
      <c r="U418" t="s">
        <v>6283</v>
      </c>
      <c r="V418" t="s">
        <v>6284</v>
      </c>
      <c r="W418" t="s">
        <v>6285</v>
      </c>
      <c r="X418" t="s">
        <v>6286</v>
      </c>
      <c r="Y418" t="s">
        <v>6287</v>
      </c>
      <c r="Z418" t="s">
        <v>6288</v>
      </c>
      <c r="AA418" t="s">
        <v>74</v>
      </c>
      <c r="AB418" t="s">
        <v>74</v>
      </c>
      <c r="AC418" t="s">
        <v>74</v>
      </c>
      <c r="AD418" t="s">
        <v>74</v>
      </c>
      <c r="AE418" t="s">
        <v>74</v>
      </c>
      <c r="AF418" t="s">
        <v>74</v>
      </c>
      <c r="AG418">
        <v>22</v>
      </c>
      <c r="AH418">
        <v>18</v>
      </c>
      <c r="AI418">
        <v>18</v>
      </c>
      <c r="AJ418">
        <v>0</v>
      </c>
      <c r="AK418">
        <v>12</v>
      </c>
      <c r="AL418" t="s">
        <v>213</v>
      </c>
      <c r="AM418" t="s">
        <v>214</v>
      </c>
      <c r="AN418" t="s">
        <v>215</v>
      </c>
      <c r="AO418" t="s">
        <v>6083</v>
      </c>
      <c r="AP418" t="s">
        <v>74</v>
      </c>
      <c r="AQ418" t="s">
        <v>74</v>
      </c>
      <c r="AR418" t="s">
        <v>6085</v>
      </c>
      <c r="AS418" t="s">
        <v>6086</v>
      </c>
      <c r="AT418" t="s">
        <v>74</v>
      </c>
      <c r="AU418">
        <v>2004</v>
      </c>
      <c r="AV418">
        <v>51</v>
      </c>
      <c r="AW418" t="s">
        <v>6267</v>
      </c>
      <c r="AX418" t="s">
        <v>74</v>
      </c>
      <c r="AY418" t="s">
        <v>74</v>
      </c>
      <c r="AZ418" t="s">
        <v>74</v>
      </c>
      <c r="BA418" t="s">
        <v>74</v>
      </c>
      <c r="BB418">
        <v>1515</v>
      </c>
      <c r="BC418">
        <v>1532</v>
      </c>
      <c r="BD418" t="s">
        <v>74</v>
      </c>
      <c r="BE418" t="s">
        <v>6289</v>
      </c>
      <c r="BF418" t="str">
        <f>HYPERLINK("http://dx.doi.org/10.1016/j.dsr2.2004.06.022","http://dx.doi.org/10.1016/j.dsr2.2004.06.022")</f>
        <v>http://dx.doi.org/10.1016/j.dsr2.2004.06.022</v>
      </c>
      <c r="BG418" t="s">
        <v>74</v>
      </c>
      <c r="BH418" t="s">
        <v>74</v>
      </c>
      <c r="BI418">
        <v>18</v>
      </c>
      <c r="BJ418" t="s">
        <v>477</v>
      </c>
      <c r="BK418" t="s">
        <v>96</v>
      </c>
      <c r="BL418" t="s">
        <v>477</v>
      </c>
      <c r="BM418" t="s">
        <v>6269</v>
      </c>
      <c r="BN418" t="s">
        <v>74</v>
      </c>
      <c r="BO418" t="s">
        <v>74</v>
      </c>
      <c r="BP418" t="s">
        <v>74</v>
      </c>
      <c r="BQ418" t="s">
        <v>74</v>
      </c>
      <c r="BR418" t="s">
        <v>99</v>
      </c>
      <c r="BS418" t="s">
        <v>6290</v>
      </c>
      <c r="BT418" t="str">
        <f>HYPERLINK("https%3A%2F%2Fwww.webofscience.com%2Fwos%2Fwoscc%2Ffull-record%2FWOS:000225890600004","View Full Record in Web of Science")</f>
        <v>View Full Record in Web of Science</v>
      </c>
    </row>
    <row r="419" spans="1:72" x14ac:dyDescent="0.15">
      <c r="A419" t="s">
        <v>72</v>
      </c>
      <c r="B419" t="s">
        <v>6291</v>
      </c>
      <c r="C419" t="s">
        <v>74</v>
      </c>
      <c r="D419" t="s">
        <v>74</v>
      </c>
      <c r="E419" t="s">
        <v>74</v>
      </c>
      <c r="F419" t="s">
        <v>6291</v>
      </c>
      <c r="G419" t="s">
        <v>74</v>
      </c>
      <c r="H419" t="s">
        <v>74</v>
      </c>
      <c r="I419" t="s">
        <v>6292</v>
      </c>
      <c r="J419" t="s">
        <v>6078</v>
      </c>
      <c r="K419" t="s">
        <v>74</v>
      </c>
      <c r="L419" t="s">
        <v>74</v>
      </c>
      <c r="M419" t="s">
        <v>77</v>
      </c>
      <c r="N419" t="s">
        <v>268</v>
      </c>
      <c r="O419" t="s">
        <v>74</v>
      </c>
      <c r="P419" t="s">
        <v>74</v>
      </c>
      <c r="Q419" t="s">
        <v>74</v>
      </c>
      <c r="R419" t="s">
        <v>74</v>
      </c>
      <c r="S419" t="s">
        <v>74</v>
      </c>
      <c r="T419" t="s">
        <v>74</v>
      </c>
      <c r="U419" t="s">
        <v>6293</v>
      </c>
      <c r="V419" t="s">
        <v>6294</v>
      </c>
      <c r="W419" t="s">
        <v>6295</v>
      </c>
      <c r="X419" t="s">
        <v>6296</v>
      </c>
      <c r="Y419" t="s">
        <v>6297</v>
      </c>
      <c r="Z419" t="s">
        <v>6298</v>
      </c>
      <c r="AA419" t="s">
        <v>74</v>
      </c>
      <c r="AB419" t="s">
        <v>74</v>
      </c>
      <c r="AC419" t="s">
        <v>74</v>
      </c>
      <c r="AD419" t="s">
        <v>74</v>
      </c>
      <c r="AE419" t="s">
        <v>74</v>
      </c>
      <c r="AF419" t="s">
        <v>74</v>
      </c>
      <c r="AG419">
        <v>139</v>
      </c>
      <c r="AH419">
        <v>75</v>
      </c>
      <c r="AI419">
        <v>81</v>
      </c>
      <c r="AJ419">
        <v>0</v>
      </c>
      <c r="AK419">
        <v>51</v>
      </c>
      <c r="AL419" t="s">
        <v>213</v>
      </c>
      <c r="AM419" t="s">
        <v>214</v>
      </c>
      <c r="AN419" t="s">
        <v>215</v>
      </c>
      <c r="AO419" t="s">
        <v>6083</v>
      </c>
      <c r="AP419" t="s">
        <v>6084</v>
      </c>
      <c r="AQ419" t="s">
        <v>74</v>
      </c>
      <c r="AR419" t="s">
        <v>6085</v>
      </c>
      <c r="AS419" t="s">
        <v>6086</v>
      </c>
      <c r="AT419" t="s">
        <v>74</v>
      </c>
      <c r="AU419">
        <v>2004</v>
      </c>
      <c r="AV419">
        <v>51</v>
      </c>
      <c r="AW419" t="s">
        <v>6267</v>
      </c>
      <c r="AX419" t="s">
        <v>74</v>
      </c>
      <c r="AY419" t="s">
        <v>74</v>
      </c>
      <c r="AZ419" t="s">
        <v>74</v>
      </c>
      <c r="BA419" t="s">
        <v>74</v>
      </c>
      <c r="BB419">
        <v>1533</v>
      </c>
      <c r="BC419">
        <v>1549</v>
      </c>
      <c r="BD419" t="s">
        <v>74</v>
      </c>
      <c r="BE419" t="s">
        <v>6299</v>
      </c>
      <c r="BF419" t="str">
        <f>HYPERLINK("http://dx.doi.org/10.1016/j.dsr2.2004.06.023","http://dx.doi.org/10.1016/j.dsr2.2004.06.023")</f>
        <v>http://dx.doi.org/10.1016/j.dsr2.2004.06.023</v>
      </c>
      <c r="BG419" t="s">
        <v>74</v>
      </c>
      <c r="BH419" t="s">
        <v>74</v>
      </c>
      <c r="BI419">
        <v>17</v>
      </c>
      <c r="BJ419" t="s">
        <v>477</v>
      </c>
      <c r="BK419" t="s">
        <v>96</v>
      </c>
      <c r="BL419" t="s">
        <v>477</v>
      </c>
      <c r="BM419" t="s">
        <v>6269</v>
      </c>
      <c r="BN419" t="s">
        <v>74</v>
      </c>
      <c r="BO419" t="s">
        <v>74</v>
      </c>
      <c r="BP419" t="s">
        <v>74</v>
      </c>
      <c r="BQ419" t="s">
        <v>74</v>
      </c>
      <c r="BR419" t="s">
        <v>99</v>
      </c>
      <c r="BS419" t="s">
        <v>6300</v>
      </c>
      <c r="BT419" t="str">
        <f>HYPERLINK("https%3A%2F%2Fwww.webofscience.com%2Fwos%2Fwoscc%2Ffull-record%2FWOS:000225890600005","View Full Record in Web of Science")</f>
        <v>View Full Record in Web of Science</v>
      </c>
    </row>
    <row r="420" spans="1:72" x14ac:dyDescent="0.15">
      <c r="A420" t="s">
        <v>72</v>
      </c>
      <c r="B420" t="s">
        <v>6301</v>
      </c>
      <c r="C420" t="s">
        <v>74</v>
      </c>
      <c r="D420" t="s">
        <v>74</v>
      </c>
      <c r="E420" t="s">
        <v>74</v>
      </c>
      <c r="F420" t="s">
        <v>6301</v>
      </c>
      <c r="G420" t="s">
        <v>74</v>
      </c>
      <c r="H420" t="s">
        <v>74</v>
      </c>
      <c r="I420" t="s">
        <v>6302</v>
      </c>
      <c r="J420" t="s">
        <v>6078</v>
      </c>
      <c r="K420" t="s">
        <v>74</v>
      </c>
      <c r="L420" t="s">
        <v>74</v>
      </c>
      <c r="M420" t="s">
        <v>77</v>
      </c>
      <c r="N420" t="s">
        <v>268</v>
      </c>
      <c r="O420" t="s">
        <v>74</v>
      </c>
      <c r="P420" t="s">
        <v>74</v>
      </c>
      <c r="Q420" t="s">
        <v>74</v>
      </c>
      <c r="R420" t="s">
        <v>74</v>
      </c>
      <c r="S420" t="s">
        <v>74</v>
      </c>
      <c r="T420" t="s">
        <v>74</v>
      </c>
      <c r="U420" t="s">
        <v>6303</v>
      </c>
      <c r="V420" t="s">
        <v>6304</v>
      </c>
      <c r="W420" t="s">
        <v>6305</v>
      </c>
      <c r="X420" t="s">
        <v>6306</v>
      </c>
      <c r="Y420" t="s">
        <v>6307</v>
      </c>
      <c r="Z420" t="s">
        <v>6308</v>
      </c>
      <c r="AA420" t="s">
        <v>6309</v>
      </c>
      <c r="AB420" t="s">
        <v>6310</v>
      </c>
      <c r="AC420" t="s">
        <v>74</v>
      </c>
      <c r="AD420" t="s">
        <v>74</v>
      </c>
      <c r="AE420" t="s">
        <v>74</v>
      </c>
      <c r="AF420" t="s">
        <v>74</v>
      </c>
      <c r="AG420">
        <v>146</v>
      </c>
      <c r="AH420">
        <v>18</v>
      </c>
      <c r="AI420">
        <v>18</v>
      </c>
      <c r="AJ420">
        <v>0</v>
      </c>
      <c r="AK420">
        <v>7</v>
      </c>
      <c r="AL420" t="s">
        <v>213</v>
      </c>
      <c r="AM420" t="s">
        <v>214</v>
      </c>
      <c r="AN420" t="s">
        <v>215</v>
      </c>
      <c r="AO420" t="s">
        <v>6083</v>
      </c>
      <c r="AP420" t="s">
        <v>6084</v>
      </c>
      <c r="AQ420" t="s">
        <v>74</v>
      </c>
      <c r="AR420" t="s">
        <v>6085</v>
      </c>
      <c r="AS420" t="s">
        <v>6086</v>
      </c>
      <c r="AT420" t="s">
        <v>74</v>
      </c>
      <c r="AU420">
        <v>2004</v>
      </c>
      <c r="AV420">
        <v>51</v>
      </c>
      <c r="AW420" t="s">
        <v>6267</v>
      </c>
      <c r="AX420" t="s">
        <v>74</v>
      </c>
      <c r="AY420" t="s">
        <v>74</v>
      </c>
      <c r="AZ420" t="s">
        <v>74</v>
      </c>
      <c r="BA420" t="s">
        <v>74</v>
      </c>
      <c r="BB420">
        <v>1551</v>
      </c>
      <c r="BC420">
        <v>1570</v>
      </c>
      <c r="BD420" t="s">
        <v>74</v>
      </c>
      <c r="BE420" t="s">
        <v>6311</v>
      </c>
      <c r="BF420" t="str">
        <f>HYPERLINK("http://dx.doi.org/10.1016/j.dsr2.2004.07.012","http://dx.doi.org/10.1016/j.dsr2.2004.07.012")</f>
        <v>http://dx.doi.org/10.1016/j.dsr2.2004.07.012</v>
      </c>
      <c r="BG420" t="s">
        <v>74</v>
      </c>
      <c r="BH420" t="s">
        <v>74</v>
      </c>
      <c r="BI420">
        <v>20</v>
      </c>
      <c r="BJ420" t="s">
        <v>477</v>
      </c>
      <c r="BK420" t="s">
        <v>96</v>
      </c>
      <c r="BL420" t="s">
        <v>477</v>
      </c>
      <c r="BM420" t="s">
        <v>6269</v>
      </c>
      <c r="BN420" t="s">
        <v>74</v>
      </c>
      <c r="BO420" t="s">
        <v>74</v>
      </c>
      <c r="BP420" t="s">
        <v>74</v>
      </c>
      <c r="BQ420" t="s">
        <v>74</v>
      </c>
      <c r="BR420" t="s">
        <v>99</v>
      </c>
      <c r="BS420" t="s">
        <v>6312</v>
      </c>
      <c r="BT420" t="str">
        <f>HYPERLINK("https%3A%2F%2Fwww.webofscience.com%2Fwos%2Fwoscc%2Ffull-record%2FWOS:000225890600006","View Full Record in Web of Science")</f>
        <v>View Full Record in Web of Science</v>
      </c>
    </row>
    <row r="421" spans="1:72" x14ac:dyDescent="0.15">
      <c r="A421" t="s">
        <v>72</v>
      </c>
      <c r="B421" t="s">
        <v>6313</v>
      </c>
      <c r="C421" t="s">
        <v>74</v>
      </c>
      <c r="D421" t="s">
        <v>74</v>
      </c>
      <c r="E421" t="s">
        <v>74</v>
      </c>
      <c r="F421" t="s">
        <v>6313</v>
      </c>
      <c r="G421" t="s">
        <v>74</v>
      </c>
      <c r="H421" t="s">
        <v>74</v>
      </c>
      <c r="I421" t="s">
        <v>6314</v>
      </c>
      <c r="J421" t="s">
        <v>6078</v>
      </c>
      <c r="K421" t="s">
        <v>74</v>
      </c>
      <c r="L421" t="s">
        <v>74</v>
      </c>
      <c r="M421" t="s">
        <v>77</v>
      </c>
      <c r="N421" t="s">
        <v>268</v>
      </c>
      <c r="O421" t="s">
        <v>74</v>
      </c>
      <c r="P421" t="s">
        <v>74</v>
      </c>
      <c r="Q421" t="s">
        <v>74</v>
      </c>
      <c r="R421" t="s">
        <v>74</v>
      </c>
      <c r="S421" t="s">
        <v>74</v>
      </c>
      <c r="T421" t="s">
        <v>74</v>
      </c>
      <c r="U421" t="s">
        <v>6315</v>
      </c>
      <c r="V421" t="s">
        <v>6316</v>
      </c>
      <c r="W421" t="s">
        <v>6317</v>
      </c>
      <c r="X421" t="s">
        <v>6318</v>
      </c>
      <c r="Y421" t="s">
        <v>6319</v>
      </c>
      <c r="Z421" t="s">
        <v>6320</v>
      </c>
      <c r="AA421" t="s">
        <v>6321</v>
      </c>
      <c r="AB421" t="s">
        <v>6266</v>
      </c>
      <c r="AC421" t="s">
        <v>74</v>
      </c>
      <c r="AD421" t="s">
        <v>74</v>
      </c>
      <c r="AE421" t="s">
        <v>74</v>
      </c>
      <c r="AF421" t="s">
        <v>74</v>
      </c>
      <c r="AG421">
        <v>118</v>
      </c>
      <c r="AH421">
        <v>70</v>
      </c>
      <c r="AI421">
        <v>78</v>
      </c>
      <c r="AJ421">
        <v>0</v>
      </c>
      <c r="AK421">
        <v>14</v>
      </c>
      <c r="AL421" t="s">
        <v>213</v>
      </c>
      <c r="AM421" t="s">
        <v>214</v>
      </c>
      <c r="AN421" t="s">
        <v>215</v>
      </c>
      <c r="AO421" t="s">
        <v>6083</v>
      </c>
      <c r="AP421" t="s">
        <v>6084</v>
      </c>
      <c r="AQ421" t="s">
        <v>74</v>
      </c>
      <c r="AR421" t="s">
        <v>6085</v>
      </c>
      <c r="AS421" t="s">
        <v>6086</v>
      </c>
      <c r="AT421" t="s">
        <v>74</v>
      </c>
      <c r="AU421">
        <v>2004</v>
      </c>
      <c r="AV421">
        <v>51</v>
      </c>
      <c r="AW421" t="s">
        <v>6267</v>
      </c>
      <c r="AX421" t="s">
        <v>74</v>
      </c>
      <c r="AY421" t="s">
        <v>74</v>
      </c>
      <c r="AZ421" t="s">
        <v>74</v>
      </c>
      <c r="BA421" t="s">
        <v>74</v>
      </c>
      <c r="BB421">
        <v>1571</v>
      </c>
      <c r="BC421">
        <v>1602</v>
      </c>
      <c r="BD421" t="s">
        <v>74</v>
      </c>
      <c r="BE421" t="s">
        <v>6322</v>
      </c>
      <c r="BF421" t="str">
        <f>HYPERLINK("http://dx.doi.org/10.1016/j.dsr2.2004.06.024","http://dx.doi.org/10.1016/j.dsr2.2004.06.024")</f>
        <v>http://dx.doi.org/10.1016/j.dsr2.2004.06.024</v>
      </c>
      <c r="BG421" t="s">
        <v>74</v>
      </c>
      <c r="BH421" t="s">
        <v>74</v>
      </c>
      <c r="BI421">
        <v>32</v>
      </c>
      <c r="BJ421" t="s">
        <v>477</v>
      </c>
      <c r="BK421" t="s">
        <v>96</v>
      </c>
      <c r="BL421" t="s">
        <v>477</v>
      </c>
      <c r="BM421" t="s">
        <v>6269</v>
      </c>
      <c r="BN421" t="s">
        <v>74</v>
      </c>
      <c r="BO421" t="s">
        <v>74</v>
      </c>
      <c r="BP421" t="s">
        <v>74</v>
      </c>
      <c r="BQ421" t="s">
        <v>74</v>
      </c>
      <c r="BR421" t="s">
        <v>99</v>
      </c>
      <c r="BS421" t="s">
        <v>6323</v>
      </c>
      <c r="BT421" t="str">
        <f>HYPERLINK("https%3A%2F%2Fwww.webofscience.com%2Fwos%2Fwoscc%2Ffull-record%2FWOS:000225890600007","View Full Record in Web of Science")</f>
        <v>View Full Record in Web of Science</v>
      </c>
    </row>
    <row r="422" spans="1:72" x14ac:dyDescent="0.15">
      <c r="A422" t="s">
        <v>72</v>
      </c>
      <c r="B422" t="s">
        <v>6324</v>
      </c>
      <c r="C422" t="s">
        <v>74</v>
      </c>
      <c r="D422" t="s">
        <v>74</v>
      </c>
      <c r="E422" t="s">
        <v>74</v>
      </c>
      <c r="F422" t="s">
        <v>6324</v>
      </c>
      <c r="G422" t="s">
        <v>74</v>
      </c>
      <c r="H422" t="s">
        <v>74</v>
      </c>
      <c r="I422" t="s">
        <v>6325</v>
      </c>
      <c r="J422" t="s">
        <v>6078</v>
      </c>
      <c r="K422" t="s">
        <v>74</v>
      </c>
      <c r="L422" t="s">
        <v>74</v>
      </c>
      <c r="M422" t="s">
        <v>77</v>
      </c>
      <c r="N422" t="s">
        <v>78</v>
      </c>
      <c r="O422" t="s">
        <v>74</v>
      </c>
      <c r="P422" t="s">
        <v>74</v>
      </c>
      <c r="Q422" t="s">
        <v>74</v>
      </c>
      <c r="R422" t="s">
        <v>74</v>
      </c>
      <c r="S422" t="s">
        <v>74</v>
      </c>
      <c r="T422" t="s">
        <v>74</v>
      </c>
      <c r="U422" t="s">
        <v>6326</v>
      </c>
      <c r="V422" t="s">
        <v>6327</v>
      </c>
      <c r="W422" t="s">
        <v>6328</v>
      </c>
      <c r="X422" t="s">
        <v>6329</v>
      </c>
      <c r="Y422" t="s">
        <v>6330</v>
      </c>
      <c r="Z422" t="s">
        <v>6331</v>
      </c>
      <c r="AA422" t="s">
        <v>74</v>
      </c>
      <c r="AB422" t="s">
        <v>6332</v>
      </c>
      <c r="AC422" t="s">
        <v>74</v>
      </c>
      <c r="AD422" t="s">
        <v>74</v>
      </c>
      <c r="AE422" t="s">
        <v>74</v>
      </c>
      <c r="AF422" t="s">
        <v>74</v>
      </c>
      <c r="AG422">
        <v>32</v>
      </c>
      <c r="AH422">
        <v>41</v>
      </c>
      <c r="AI422">
        <v>46</v>
      </c>
      <c r="AJ422">
        <v>0</v>
      </c>
      <c r="AK422">
        <v>20</v>
      </c>
      <c r="AL422" t="s">
        <v>213</v>
      </c>
      <c r="AM422" t="s">
        <v>214</v>
      </c>
      <c r="AN422" t="s">
        <v>215</v>
      </c>
      <c r="AO422" t="s">
        <v>6083</v>
      </c>
      <c r="AP422" t="s">
        <v>6084</v>
      </c>
      <c r="AQ422" t="s">
        <v>74</v>
      </c>
      <c r="AR422" t="s">
        <v>6085</v>
      </c>
      <c r="AS422" t="s">
        <v>6086</v>
      </c>
      <c r="AT422" t="s">
        <v>74</v>
      </c>
      <c r="AU422">
        <v>2004</v>
      </c>
      <c r="AV422">
        <v>51</v>
      </c>
      <c r="AW422" t="s">
        <v>6267</v>
      </c>
      <c r="AX422" t="s">
        <v>74</v>
      </c>
      <c r="AY422" t="s">
        <v>74</v>
      </c>
      <c r="AZ422" t="s">
        <v>74</v>
      </c>
      <c r="BA422" t="s">
        <v>74</v>
      </c>
      <c r="BB422">
        <v>1617</v>
      </c>
      <c r="BC422">
        <v>1628</v>
      </c>
      <c r="BD422" t="s">
        <v>74</v>
      </c>
      <c r="BE422" t="s">
        <v>6333</v>
      </c>
      <c r="BF422" t="str">
        <f>HYPERLINK("http://dx.doi.org/10.1016/j.dsr2.2004.06.026","http://dx.doi.org/10.1016/j.dsr2.2004.06.026")</f>
        <v>http://dx.doi.org/10.1016/j.dsr2.2004.06.026</v>
      </c>
      <c r="BG422" t="s">
        <v>74</v>
      </c>
      <c r="BH422" t="s">
        <v>74</v>
      </c>
      <c r="BI422">
        <v>12</v>
      </c>
      <c r="BJ422" t="s">
        <v>477</v>
      </c>
      <c r="BK422" t="s">
        <v>96</v>
      </c>
      <c r="BL422" t="s">
        <v>477</v>
      </c>
      <c r="BM422" t="s">
        <v>6269</v>
      </c>
      <c r="BN422" t="s">
        <v>74</v>
      </c>
      <c r="BO422" t="s">
        <v>74</v>
      </c>
      <c r="BP422" t="s">
        <v>74</v>
      </c>
      <c r="BQ422" t="s">
        <v>74</v>
      </c>
      <c r="BR422" t="s">
        <v>99</v>
      </c>
      <c r="BS422" t="s">
        <v>6334</v>
      </c>
      <c r="BT422" t="str">
        <f>HYPERLINK("https%3A%2F%2Fwww.webofscience.com%2Fwos%2Fwoscc%2Ffull-record%2FWOS:000225890600009","View Full Record in Web of Science")</f>
        <v>View Full Record in Web of Science</v>
      </c>
    </row>
    <row r="423" spans="1:72" x14ac:dyDescent="0.15">
      <c r="A423" t="s">
        <v>72</v>
      </c>
      <c r="B423" t="s">
        <v>6335</v>
      </c>
      <c r="C423" t="s">
        <v>74</v>
      </c>
      <c r="D423" t="s">
        <v>74</v>
      </c>
      <c r="E423" t="s">
        <v>74</v>
      </c>
      <c r="F423" t="s">
        <v>6335</v>
      </c>
      <c r="G423" t="s">
        <v>74</v>
      </c>
      <c r="H423" t="s">
        <v>74</v>
      </c>
      <c r="I423" t="s">
        <v>6336</v>
      </c>
      <c r="J423" t="s">
        <v>6078</v>
      </c>
      <c r="K423" t="s">
        <v>74</v>
      </c>
      <c r="L423" t="s">
        <v>74</v>
      </c>
      <c r="M423" t="s">
        <v>77</v>
      </c>
      <c r="N423" t="s">
        <v>78</v>
      </c>
      <c r="O423" t="s">
        <v>74</v>
      </c>
      <c r="P423" t="s">
        <v>74</v>
      </c>
      <c r="Q423" t="s">
        <v>74</v>
      </c>
      <c r="R423" t="s">
        <v>74</v>
      </c>
      <c r="S423" t="s">
        <v>74</v>
      </c>
      <c r="T423" t="s">
        <v>74</v>
      </c>
      <c r="U423" t="s">
        <v>6337</v>
      </c>
      <c r="V423" t="s">
        <v>6338</v>
      </c>
      <c r="W423" t="s">
        <v>6339</v>
      </c>
      <c r="X423" t="s">
        <v>6329</v>
      </c>
      <c r="Y423" t="s">
        <v>6340</v>
      </c>
      <c r="Z423" t="s">
        <v>6341</v>
      </c>
      <c r="AA423" t="s">
        <v>74</v>
      </c>
      <c r="AB423" t="s">
        <v>74</v>
      </c>
      <c r="AC423" t="s">
        <v>74</v>
      </c>
      <c r="AD423" t="s">
        <v>74</v>
      </c>
      <c r="AE423" t="s">
        <v>74</v>
      </c>
      <c r="AF423" t="s">
        <v>74</v>
      </c>
      <c r="AG423">
        <v>30</v>
      </c>
      <c r="AH423">
        <v>17</v>
      </c>
      <c r="AI423">
        <v>20</v>
      </c>
      <c r="AJ423">
        <v>0</v>
      </c>
      <c r="AK423">
        <v>6</v>
      </c>
      <c r="AL423" t="s">
        <v>213</v>
      </c>
      <c r="AM423" t="s">
        <v>214</v>
      </c>
      <c r="AN423" t="s">
        <v>215</v>
      </c>
      <c r="AO423" t="s">
        <v>6083</v>
      </c>
      <c r="AP423" t="s">
        <v>74</v>
      </c>
      <c r="AQ423" t="s">
        <v>74</v>
      </c>
      <c r="AR423" t="s">
        <v>6085</v>
      </c>
      <c r="AS423" t="s">
        <v>6086</v>
      </c>
      <c r="AT423" t="s">
        <v>74</v>
      </c>
      <c r="AU423">
        <v>2004</v>
      </c>
      <c r="AV423">
        <v>51</v>
      </c>
      <c r="AW423" t="s">
        <v>6267</v>
      </c>
      <c r="AX423" t="s">
        <v>74</v>
      </c>
      <c r="AY423" t="s">
        <v>74</v>
      </c>
      <c r="AZ423" t="s">
        <v>74</v>
      </c>
      <c r="BA423" t="s">
        <v>74</v>
      </c>
      <c r="BB423">
        <v>1629</v>
      </c>
      <c r="BC423">
        <v>1641</v>
      </c>
      <c r="BD423" t="s">
        <v>74</v>
      </c>
      <c r="BE423" t="s">
        <v>6342</v>
      </c>
      <c r="BF423" t="str">
        <f>HYPERLINK("http://dx.doi.org/10.1016/j.dsr2.2004.06.027","http://dx.doi.org/10.1016/j.dsr2.2004.06.027")</f>
        <v>http://dx.doi.org/10.1016/j.dsr2.2004.06.027</v>
      </c>
      <c r="BG423" t="s">
        <v>74</v>
      </c>
      <c r="BH423" t="s">
        <v>74</v>
      </c>
      <c r="BI423">
        <v>13</v>
      </c>
      <c r="BJ423" t="s">
        <v>477</v>
      </c>
      <c r="BK423" t="s">
        <v>96</v>
      </c>
      <c r="BL423" t="s">
        <v>477</v>
      </c>
      <c r="BM423" t="s">
        <v>6269</v>
      </c>
      <c r="BN423" t="s">
        <v>74</v>
      </c>
      <c r="BO423" t="s">
        <v>74</v>
      </c>
      <c r="BP423" t="s">
        <v>74</v>
      </c>
      <c r="BQ423" t="s">
        <v>74</v>
      </c>
      <c r="BR423" t="s">
        <v>99</v>
      </c>
      <c r="BS423" t="s">
        <v>6343</v>
      </c>
      <c r="BT423" t="str">
        <f>HYPERLINK("https%3A%2F%2Fwww.webofscience.com%2Fwos%2Fwoscc%2Ffull-record%2FWOS:000225890600010","View Full Record in Web of Science")</f>
        <v>View Full Record in Web of Science</v>
      </c>
    </row>
    <row r="424" spans="1:72" x14ac:dyDescent="0.15">
      <c r="A424" t="s">
        <v>72</v>
      </c>
      <c r="B424" t="s">
        <v>6344</v>
      </c>
      <c r="C424" t="s">
        <v>74</v>
      </c>
      <c r="D424" t="s">
        <v>74</v>
      </c>
      <c r="E424" t="s">
        <v>74</v>
      </c>
      <c r="F424" t="s">
        <v>6344</v>
      </c>
      <c r="G424" t="s">
        <v>74</v>
      </c>
      <c r="H424" t="s">
        <v>74</v>
      </c>
      <c r="I424" t="s">
        <v>6345</v>
      </c>
      <c r="J424" t="s">
        <v>6078</v>
      </c>
      <c r="K424" t="s">
        <v>74</v>
      </c>
      <c r="L424" t="s">
        <v>74</v>
      </c>
      <c r="M424" t="s">
        <v>77</v>
      </c>
      <c r="N424" t="s">
        <v>78</v>
      </c>
      <c r="O424" t="s">
        <v>74</v>
      </c>
      <c r="P424" t="s">
        <v>74</v>
      </c>
      <c r="Q424" t="s">
        <v>74</v>
      </c>
      <c r="R424" t="s">
        <v>74</v>
      </c>
      <c r="S424" t="s">
        <v>74</v>
      </c>
      <c r="T424" t="s">
        <v>74</v>
      </c>
      <c r="U424" t="s">
        <v>6346</v>
      </c>
      <c r="V424" t="s">
        <v>6347</v>
      </c>
      <c r="W424" t="s">
        <v>6348</v>
      </c>
      <c r="X424" t="s">
        <v>6349</v>
      </c>
      <c r="Y424" t="s">
        <v>6350</v>
      </c>
      <c r="Z424" t="s">
        <v>6351</v>
      </c>
      <c r="AA424" t="s">
        <v>74</v>
      </c>
      <c r="AB424" t="s">
        <v>74</v>
      </c>
      <c r="AC424" t="s">
        <v>74</v>
      </c>
      <c r="AD424" t="s">
        <v>74</v>
      </c>
      <c r="AE424" t="s">
        <v>74</v>
      </c>
      <c r="AF424" t="s">
        <v>74</v>
      </c>
      <c r="AG424">
        <v>50</v>
      </c>
      <c r="AH424">
        <v>24</v>
      </c>
      <c r="AI424">
        <v>28</v>
      </c>
      <c r="AJ424">
        <v>0</v>
      </c>
      <c r="AK424">
        <v>9</v>
      </c>
      <c r="AL424" t="s">
        <v>213</v>
      </c>
      <c r="AM424" t="s">
        <v>214</v>
      </c>
      <c r="AN424" t="s">
        <v>215</v>
      </c>
      <c r="AO424" t="s">
        <v>6083</v>
      </c>
      <c r="AP424" t="s">
        <v>74</v>
      </c>
      <c r="AQ424" t="s">
        <v>74</v>
      </c>
      <c r="AR424" t="s">
        <v>6085</v>
      </c>
      <c r="AS424" t="s">
        <v>6086</v>
      </c>
      <c r="AT424" t="s">
        <v>74</v>
      </c>
      <c r="AU424">
        <v>2004</v>
      </c>
      <c r="AV424">
        <v>51</v>
      </c>
      <c r="AW424" t="s">
        <v>6267</v>
      </c>
      <c r="AX424" t="s">
        <v>74</v>
      </c>
      <c r="AY424" t="s">
        <v>74</v>
      </c>
      <c r="AZ424" t="s">
        <v>74</v>
      </c>
      <c r="BA424" t="s">
        <v>74</v>
      </c>
      <c r="BB424">
        <v>1643</v>
      </c>
      <c r="BC424">
        <v>1664</v>
      </c>
      <c r="BD424" t="s">
        <v>74</v>
      </c>
      <c r="BE424" t="s">
        <v>6352</v>
      </c>
      <c r="BF424" t="str">
        <f>HYPERLINK("http://dx.doi.org/10.1016/j.dsr2.2004.06.028","http://dx.doi.org/10.1016/j.dsr2.2004.06.028")</f>
        <v>http://dx.doi.org/10.1016/j.dsr2.2004.06.028</v>
      </c>
      <c r="BG424" t="s">
        <v>74</v>
      </c>
      <c r="BH424" t="s">
        <v>74</v>
      </c>
      <c r="BI424">
        <v>22</v>
      </c>
      <c r="BJ424" t="s">
        <v>477</v>
      </c>
      <c r="BK424" t="s">
        <v>96</v>
      </c>
      <c r="BL424" t="s">
        <v>477</v>
      </c>
      <c r="BM424" t="s">
        <v>6269</v>
      </c>
      <c r="BN424" t="s">
        <v>74</v>
      </c>
      <c r="BO424" t="s">
        <v>74</v>
      </c>
      <c r="BP424" t="s">
        <v>74</v>
      </c>
      <c r="BQ424" t="s">
        <v>74</v>
      </c>
      <c r="BR424" t="s">
        <v>99</v>
      </c>
      <c r="BS424" t="s">
        <v>6353</v>
      </c>
      <c r="BT424" t="str">
        <f>HYPERLINK("https%3A%2F%2Fwww.webofscience.com%2Fwos%2Fwoscc%2Ffull-record%2FWOS:000225890600011","View Full Record in Web of Science")</f>
        <v>View Full Record in Web of Science</v>
      </c>
    </row>
    <row r="425" spans="1:72" x14ac:dyDescent="0.15">
      <c r="A425" t="s">
        <v>72</v>
      </c>
      <c r="B425" t="s">
        <v>6354</v>
      </c>
      <c r="C425" t="s">
        <v>74</v>
      </c>
      <c r="D425" t="s">
        <v>74</v>
      </c>
      <c r="E425" t="s">
        <v>74</v>
      </c>
      <c r="F425" t="s">
        <v>6354</v>
      </c>
      <c r="G425" t="s">
        <v>74</v>
      </c>
      <c r="H425" t="s">
        <v>74</v>
      </c>
      <c r="I425" t="s">
        <v>6355</v>
      </c>
      <c r="J425" t="s">
        <v>6078</v>
      </c>
      <c r="K425" t="s">
        <v>74</v>
      </c>
      <c r="L425" t="s">
        <v>74</v>
      </c>
      <c r="M425" t="s">
        <v>77</v>
      </c>
      <c r="N425" t="s">
        <v>78</v>
      </c>
      <c r="O425" t="s">
        <v>74</v>
      </c>
      <c r="P425" t="s">
        <v>74</v>
      </c>
      <c r="Q425" t="s">
        <v>74</v>
      </c>
      <c r="R425" t="s">
        <v>74</v>
      </c>
      <c r="S425" t="s">
        <v>74</v>
      </c>
      <c r="T425" t="s">
        <v>74</v>
      </c>
      <c r="U425" t="s">
        <v>6356</v>
      </c>
      <c r="V425" t="s">
        <v>6357</v>
      </c>
      <c r="W425" t="s">
        <v>6358</v>
      </c>
      <c r="X425" t="s">
        <v>6349</v>
      </c>
      <c r="Y425" t="s">
        <v>6359</v>
      </c>
      <c r="Z425" t="s">
        <v>6360</v>
      </c>
      <c r="AA425" t="s">
        <v>74</v>
      </c>
      <c r="AB425" t="s">
        <v>74</v>
      </c>
      <c r="AC425" t="s">
        <v>74</v>
      </c>
      <c r="AD425" t="s">
        <v>74</v>
      </c>
      <c r="AE425" t="s">
        <v>74</v>
      </c>
      <c r="AF425" t="s">
        <v>74</v>
      </c>
      <c r="AG425">
        <v>89</v>
      </c>
      <c r="AH425">
        <v>84</v>
      </c>
      <c r="AI425">
        <v>94</v>
      </c>
      <c r="AJ425">
        <v>1</v>
      </c>
      <c r="AK425">
        <v>22</v>
      </c>
      <c r="AL425" t="s">
        <v>213</v>
      </c>
      <c r="AM425" t="s">
        <v>214</v>
      </c>
      <c r="AN425" t="s">
        <v>215</v>
      </c>
      <c r="AO425" t="s">
        <v>6083</v>
      </c>
      <c r="AP425" t="s">
        <v>6084</v>
      </c>
      <c r="AQ425" t="s">
        <v>74</v>
      </c>
      <c r="AR425" t="s">
        <v>6085</v>
      </c>
      <c r="AS425" t="s">
        <v>6086</v>
      </c>
      <c r="AT425" t="s">
        <v>74</v>
      </c>
      <c r="AU425">
        <v>2004</v>
      </c>
      <c r="AV425">
        <v>51</v>
      </c>
      <c r="AW425" t="s">
        <v>6267</v>
      </c>
      <c r="AX425" t="s">
        <v>74</v>
      </c>
      <c r="AY425" t="s">
        <v>74</v>
      </c>
      <c r="AZ425" t="s">
        <v>74</v>
      </c>
      <c r="BA425" t="s">
        <v>74</v>
      </c>
      <c r="BB425">
        <v>1665</v>
      </c>
      <c r="BC425">
        <v>1687</v>
      </c>
      <c r="BD425" t="s">
        <v>74</v>
      </c>
      <c r="BE425" t="s">
        <v>6361</v>
      </c>
      <c r="BF425" t="str">
        <f>HYPERLINK("http://dx.doi.org/10.1016/j.dsr2.2004.06.029","http://dx.doi.org/10.1016/j.dsr2.2004.06.029")</f>
        <v>http://dx.doi.org/10.1016/j.dsr2.2004.06.029</v>
      </c>
      <c r="BG425" t="s">
        <v>74</v>
      </c>
      <c r="BH425" t="s">
        <v>74</v>
      </c>
      <c r="BI425">
        <v>23</v>
      </c>
      <c r="BJ425" t="s">
        <v>477</v>
      </c>
      <c r="BK425" t="s">
        <v>96</v>
      </c>
      <c r="BL425" t="s">
        <v>477</v>
      </c>
      <c r="BM425" t="s">
        <v>6269</v>
      </c>
      <c r="BN425" t="s">
        <v>74</v>
      </c>
      <c r="BO425" t="s">
        <v>74</v>
      </c>
      <c r="BP425" t="s">
        <v>74</v>
      </c>
      <c r="BQ425" t="s">
        <v>74</v>
      </c>
      <c r="BR425" t="s">
        <v>99</v>
      </c>
      <c r="BS425" t="s">
        <v>6362</v>
      </c>
      <c r="BT425" t="str">
        <f>HYPERLINK("https%3A%2F%2Fwww.webofscience.com%2Fwos%2Fwoscc%2Ffull-record%2FWOS:000225890600012","View Full Record in Web of Science")</f>
        <v>View Full Record in Web of Science</v>
      </c>
    </row>
    <row r="426" spans="1:72" x14ac:dyDescent="0.15">
      <c r="A426" t="s">
        <v>72</v>
      </c>
      <c r="B426" t="s">
        <v>6363</v>
      </c>
      <c r="C426" t="s">
        <v>74</v>
      </c>
      <c r="D426" t="s">
        <v>74</v>
      </c>
      <c r="E426" t="s">
        <v>74</v>
      </c>
      <c r="F426" t="s">
        <v>6363</v>
      </c>
      <c r="G426" t="s">
        <v>74</v>
      </c>
      <c r="H426" t="s">
        <v>74</v>
      </c>
      <c r="I426" t="s">
        <v>6364</v>
      </c>
      <c r="J426" t="s">
        <v>6078</v>
      </c>
      <c r="K426" t="s">
        <v>74</v>
      </c>
      <c r="L426" t="s">
        <v>74</v>
      </c>
      <c r="M426" t="s">
        <v>77</v>
      </c>
      <c r="N426" t="s">
        <v>268</v>
      </c>
      <c r="O426" t="s">
        <v>74</v>
      </c>
      <c r="P426" t="s">
        <v>74</v>
      </c>
      <c r="Q426" t="s">
        <v>74</v>
      </c>
      <c r="R426" t="s">
        <v>74</v>
      </c>
      <c r="S426" t="s">
        <v>74</v>
      </c>
      <c r="T426" t="s">
        <v>74</v>
      </c>
      <c r="U426" t="s">
        <v>6365</v>
      </c>
      <c r="V426" t="s">
        <v>6366</v>
      </c>
      <c r="W426" t="s">
        <v>6367</v>
      </c>
      <c r="X426" t="s">
        <v>74</v>
      </c>
      <c r="Y426" t="s">
        <v>6368</v>
      </c>
      <c r="Z426" t="s">
        <v>6369</v>
      </c>
      <c r="AA426" t="s">
        <v>74</v>
      </c>
      <c r="AB426" t="s">
        <v>74</v>
      </c>
      <c r="AC426" t="s">
        <v>74</v>
      </c>
      <c r="AD426" t="s">
        <v>74</v>
      </c>
      <c r="AE426" t="s">
        <v>74</v>
      </c>
      <c r="AF426" t="s">
        <v>74</v>
      </c>
      <c r="AG426">
        <v>116</v>
      </c>
      <c r="AH426">
        <v>81</v>
      </c>
      <c r="AI426">
        <v>92</v>
      </c>
      <c r="AJ426">
        <v>2</v>
      </c>
      <c r="AK426">
        <v>34</v>
      </c>
      <c r="AL426" t="s">
        <v>213</v>
      </c>
      <c r="AM426" t="s">
        <v>214</v>
      </c>
      <c r="AN426" t="s">
        <v>215</v>
      </c>
      <c r="AO426" t="s">
        <v>6083</v>
      </c>
      <c r="AP426" t="s">
        <v>6084</v>
      </c>
      <c r="AQ426" t="s">
        <v>74</v>
      </c>
      <c r="AR426" t="s">
        <v>6085</v>
      </c>
      <c r="AS426" t="s">
        <v>6086</v>
      </c>
      <c r="AT426" t="s">
        <v>74</v>
      </c>
      <c r="AU426">
        <v>2004</v>
      </c>
      <c r="AV426">
        <v>51</v>
      </c>
      <c r="AW426" t="s">
        <v>6267</v>
      </c>
      <c r="AX426" t="s">
        <v>74</v>
      </c>
      <c r="AY426" t="s">
        <v>74</v>
      </c>
      <c r="AZ426" t="s">
        <v>74</v>
      </c>
      <c r="BA426" t="s">
        <v>74</v>
      </c>
      <c r="BB426">
        <v>1689</v>
      </c>
      <c r="BC426">
        <v>1708</v>
      </c>
      <c r="BD426" t="s">
        <v>74</v>
      </c>
      <c r="BE426" t="s">
        <v>6370</v>
      </c>
      <c r="BF426" t="str">
        <f>HYPERLINK("http://dx.doi.org/10.1016/j.dsr2.2004.07.013","http://dx.doi.org/10.1016/j.dsr2.2004.07.013")</f>
        <v>http://dx.doi.org/10.1016/j.dsr2.2004.07.013</v>
      </c>
      <c r="BG426" t="s">
        <v>74</v>
      </c>
      <c r="BH426" t="s">
        <v>74</v>
      </c>
      <c r="BI426">
        <v>20</v>
      </c>
      <c r="BJ426" t="s">
        <v>477</v>
      </c>
      <c r="BK426" t="s">
        <v>96</v>
      </c>
      <c r="BL426" t="s">
        <v>477</v>
      </c>
      <c r="BM426" t="s">
        <v>6269</v>
      </c>
      <c r="BN426" t="s">
        <v>74</v>
      </c>
      <c r="BO426" t="s">
        <v>74</v>
      </c>
      <c r="BP426" t="s">
        <v>74</v>
      </c>
      <c r="BQ426" t="s">
        <v>74</v>
      </c>
      <c r="BR426" t="s">
        <v>99</v>
      </c>
      <c r="BS426" t="s">
        <v>6371</v>
      </c>
      <c r="BT426" t="str">
        <f>HYPERLINK("https%3A%2F%2Fwww.webofscience.com%2Fwos%2Fwoscc%2Ffull-record%2FWOS:000225890600013","View Full Record in Web of Science")</f>
        <v>View Full Record in Web of Science</v>
      </c>
    </row>
    <row r="427" spans="1:72" x14ac:dyDescent="0.15">
      <c r="A427" t="s">
        <v>72</v>
      </c>
      <c r="B427" t="s">
        <v>6372</v>
      </c>
      <c r="C427" t="s">
        <v>74</v>
      </c>
      <c r="D427" t="s">
        <v>74</v>
      </c>
      <c r="E427" t="s">
        <v>74</v>
      </c>
      <c r="F427" t="s">
        <v>6372</v>
      </c>
      <c r="G427" t="s">
        <v>74</v>
      </c>
      <c r="H427" t="s">
        <v>74</v>
      </c>
      <c r="I427" t="s">
        <v>6373</v>
      </c>
      <c r="J427" t="s">
        <v>6078</v>
      </c>
      <c r="K427" t="s">
        <v>74</v>
      </c>
      <c r="L427" t="s">
        <v>74</v>
      </c>
      <c r="M427" t="s">
        <v>77</v>
      </c>
      <c r="N427" t="s">
        <v>78</v>
      </c>
      <c r="O427" t="s">
        <v>74</v>
      </c>
      <c r="P427" t="s">
        <v>74</v>
      </c>
      <c r="Q427" t="s">
        <v>74</v>
      </c>
      <c r="R427" t="s">
        <v>74</v>
      </c>
      <c r="S427" t="s">
        <v>74</v>
      </c>
      <c r="T427" t="s">
        <v>74</v>
      </c>
      <c r="U427" t="s">
        <v>6374</v>
      </c>
      <c r="V427" t="s">
        <v>6375</v>
      </c>
      <c r="W427" t="s">
        <v>6376</v>
      </c>
      <c r="X427" t="s">
        <v>6377</v>
      </c>
      <c r="Y427" t="s">
        <v>6378</v>
      </c>
      <c r="Z427" t="s">
        <v>6379</v>
      </c>
      <c r="AA427" t="s">
        <v>6380</v>
      </c>
      <c r="AB427" t="s">
        <v>6381</v>
      </c>
      <c r="AC427" t="s">
        <v>74</v>
      </c>
      <c r="AD427" t="s">
        <v>74</v>
      </c>
      <c r="AE427" t="s">
        <v>74</v>
      </c>
      <c r="AF427" t="s">
        <v>74</v>
      </c>
      <c r="AG427">
        <v>13</v>
      </c>
      <c r="AH427">
        <v>1</v>
      </c>
      <c r="AI427">
        <v>1</v>
      </c>
      <c r="AJ427">
        <v>0</v>
      </c>
      <c r="AK427">
        <v>1</v>
      </c>
      <c r="AL427" t="s">
        <v>213</v>
      </c>
      <c r="AM427" t="s">
        <v>214</v>
      </c>
      <c r="AN427" t="s">
        <v>215</v>
      </c>
      <c r="AO427" t="s">
        <v>6083</v>
      </c>
      <c r="AP427" t="s">
        <v>6084</v>
      </c>
      <c r="AQ427" t="s">
        <v>74</v>
      </c>
      <c r="AR427" t="s">
        <v>6085</v>
      </c>
      <c r="AS427" t="s">
        <v>6086</v>
      </c>
      <c r="AT427" t="s">
        <v>74</v>
      </c>
      <c r="AU427">
        <v>2004</v>
      </c>
      <c r="AV427">
        <v>51</v>
      </c>
      <c r="AW427" t="s">
        <v>6267</v>
      </c>
      <c r="AX427" t="s">
        <v>74</v>
      </c>
      <c r="AY427" t="s">
        <v>74</v>
      </c>
      <c r="AZ427" t="s">
        <v>74</v>
      </c>
      <c r="BA427" t="s">
        <v>74</v>
      </c>
      <c r="BB427">
        <v>1709</v>
      </c>
      <c r="BC427">
        <v>1716</v>
      </c>
      <c r="BD427" t="s">
        <v>74</v>
      </c>
      <c r="BE427" t="s">
        <v>6382</v>
      </c>
      <c r="BF427" t="str">
        <f>HYPERLINK("http://dx.doi.org/10.1016/j.dsr2.2004.06.030","http://dx.doi.org/10.1016/j.dsr2.2004.06.030")</f>
        <v>http://dx.doi.org/10.1016/j.dsr2.2004.06.030</v>
      </c>
      <c r="BG427" t="s">
        <v>74</v>
      </c>
      <c r="BH427" t="s">
        <v>74</v>
      </c>
      <c r="BI427">
        <v>8</v>
      </c>
      <c r="BJ427" t="s">
        <v>477</v>
      </c>
      <c r="BK427" t="s">
        <v>96</v>
      </c>
      <c r="BL427" t="s">
        <v>477</v>
      </c>
      <c r="BM427" t="s">
        <v>6269</v>
      </c>
      <c r="BN427" t="s">
        <v>74</v>
      </c>
      <c r="BO427" t="s">
        <v>74</v>
      </c>
      <c r="BP427" t="s">
        <v>74</v>
      </c>
      <c r="BQ427" t="s">
        <v>74</v>
      </c>
      <c r="BR427" t="s">
        <v>99</v>
      </c>
      <c r="BS427" t="s">
        <v>6383</v>
      </c>
      <c r="BT427" t="str">
        <f>HYPERLINK("https%3A%2F%2Fwww.webofscience.com%2Fwos%2Fwoscc%2Ffull-record%2FWOS:000225890600014","View Full Record in Web of Science")</f>
        <v>View Full Record in Web of Science</v>
      </c>
    </row>
    <row r="428" spans="1:72" x14ac:dyDescent="0.15">
      <c r="A428" t="s">
        <v>72</v>
      </c>
      <c r="B428" t="s">
        <v>6384</v>
      </c>
      <c r="C428" t="s">
        <v>74</v>
      </c>
      <c r="D428" t="s">
        <v>74</v>
      </c>
      <c r="E428" t="s">
        <v>74</v>
      </c>
      <c r="F428" t="s">
        <v>6384</v>
      </c>
      <c r="G428" t="s">
        <v>74</v>
      </c>
      <c r="H428" t="s">
        <v>74</v>
      </c>
      <c r="I428" t="s">
        <v>6385</v>
      </c>
      <c r="J428" t="s">
        <v>6078</v>
      </c>
      <c r="K428" t="s">
        <v>74</v>
      </c>
      <c r="L428" t="s">
        <v>74</v>
      </c>
      <c r="M428" t="s">
        <v>77</v>
      </c>
      <c r="N428" t="s">
        <v>78</v>
      </c>
      <c r="O428" t="s">
        <v>74</v>
      </c>
      <c r="P428" t="s">
        <v>74</v>
      </c>
      <c r="Q428" t="s">
        <v>74</v>
      </c>
      <c r="R428" t="s">
        <v>74</v>
      </c>
      <c r="S428" t="s">
        <v>74</v>
      </c>
      <c r="T428" t="s">
        <v>74</v>
      </c>
      <c r="U428" t="s">
        <v>74</v>
      </c>
      <c r="V428" t="s">
        <v>6386</v>
      </c>
      <c r="W428" t="s">
        <v>6387</v>
      </c>
      <c r="X428" t="s">
        <v>6388</v>
      </c>
      <c r="Y428" t="s">
        <v>6378</v>
      </c>
      <c r="Z428" t="s">
        <v>6389</v>
      </c>
      <c r="AA428" t="s">
        <v>6380</v>
      </c>
      <c r="AB428" t="s">
        <v>6381</v>
      </c>
      <c r="AC428" t="s">
        <v>74</v>
      </c>
      <c r="AD428" t="s">
        <v>74</v>
      </c>
      <c r="AE428" t="s">
        <v>74</v>
      </c>
      <c r="AF428" t="s">
        <v>74</v>
      </c>
      <c r="AG428">
        <v>47</v>
      </c>
      <c r="AH428">
        <v>7</v>
      </c>
      <c r="AI428">
        <v>9</v>
      </c>
      <c r="AJ428">
        <v>1</v>
      </c>
      <c r="AK428">
        <v>4</v>
      </c>
      <c r="AL428" t="s">
        <v>213</v>
      </c>
      <c r="AM428" t="s">
        <v>214</v>
      </c>
      <c r="AN428" t="s">
        <v>215</v>
      </c>
      <c r="AO428" t="s">
        <v>6083</v>
      </c>
      <c r="AP428" t="s">
        <v>6084</v>
      </c>
      <c r="AQ428" t="s">
        <v>74</v>
      </c>
      <c r="AR428" t="s">
        <v>6085</v>
      </c>
      <c r="AS428" t="s">
        <v>6086</v>
      </c>
      <c r="AT428" t="s">
        <v>74</v>
      </c>
      <c r="AU428">
        <v>2004</v>
      </c>
      <c r="AV428">
        <v>51</v>
      </c>
      <c r="AW428" t="s">
        <v>6267</v>
      </c>
      <c r="AX428" t="s">
        <v>74</v>
      </c>
      <c r="AY428" t="s">
        <v>74</v>
      </c>
      <c r="AZ428" t="s">
        <v>74</v>
      </c>
      <c r="BA428" t="s">
        <v>74</v>
      </c>
      <c r="BB428">
        <v>1717</v>
      </c>
      <c r="BC428">
        <v>1731</v>
      </c>
      <c r="BD428" t="s">
        <v>74</v>
      </c>
      <c r="BE428" t="s">
        <v>6390</v>
      </c>
      <c r="BF428" t="str">
        <f>HYPERLINK("http://dx.doi.org/10.1016/j.dsr2.2004.06.031","http://dx.doi.org/10.1016/j.dsr2.2004.06.031")</f>
        <v>http://dx.doi.org/10.1016/j.dsr2.2004.06.031</v>
      </c>
      <c r="BG428" t="s">
        <v>74</v>
      </c>
      <c r="BH428" t="s">
        <v>74</v>
      </c>
      <c r="BI428">
        <v>15</v>
      </c>
      <c r="BJ428" t="s">
        <v>477</v>
      </c>
      <c r="BK428" t="s">
        <v>96</v>
      </c>
      <c r="BL428" t="s">
        <v>477</v>
      </c>
      <c r="BM428" t="s">
        <v>6269</v>
      </c>
      <c r="BN428" t="s">
        <v>74</v>
      </c>
      <c r="BO428" t="s">
        <v>74</v>
      </c>
      <c r="BP428" t="s">
        <v>74</v>
      </c>
      <c r="BQ428" t="s">
        <v>74</v>
      </c>
      <c r="BR428" t="s">
        <v>99</v>
      </c>
      <c r="BS428" t="s">
        <v>6391</v>
      </c>
      <c r="BT428" t="str">
        <f>HYPERLINK("https%3A%2F%2Fwww.webofscience.com%2Fwos%2Fwoscc%2Ffull-record%2FWOS:000225890600015","View Full Record in Web of Science")</f>
        <v>View Full Record in Web of Science</v>
      </c>
    </row>
    <row r="429" spans="1:72" x14ac:dyDescent="0.15">
      <c r="A429" t="s">
        <v>72</v>
      </c>
      <c r="B429" t="s">
        <v>6392</v>
      </c>
      <c r="C429" t="s">
        <v>74</v>
      </c>
      <c r="D429" t="s">
        <v>74</v>
      </c>
      <c r="E429" t="s">
        <v>74</v>
      </c>
      <c r="F429" t="s">
        <v>6392</v>
      </c>
      <c r="G429" t="s">
        <v>74</v>
      </c>
      <c r="H429" t="s">
        <v>74</v>
      </c>
      <c r="I429" t="s">
        <v>6393</v>
      </c>
      <c r="J429" t="s">
        <v>6078</v>
      </c>
      <c r="K429" t="s">
        <v>74</v>
      </c>
      <c r="L429" t="s">
        <v>74</v>
      </c>
      <c r="M429" t="s">
        <v>77</v>
      </c>
      <c r="N429" t="s">
        <v>78</v>
      </c>
      <c r="O429" t="s">
        <v>74</v>
      </c>
      <c r="P429" t="s">
        <v>74</v>
      </c>
      <c r="Q429" t="s">
        <v>74</v>
      </c>
      <c r="R429" t="s">
        <v>74</v>
      </c>
      <c r="S429" t="s">
        <v>74</v>
      </c>
      <c r="T429" t="s">
        <v>74</v>
      </c>
      <c r="U429" t="s">
        <v>6394</v>
      </c>
      <c r="V429" t="s">
        <v>6395</v>
      </c>
      <c r="W429" t="s">
        <v>6396</v>
      </c>
      <c r="X429" t="s">
        <v>6397</v>
      </c>
      <c r="Y429" t="s">
        <v>6398</v>
      </c>
      <c r="Z429" t="s">
        <v>6399</v>
      </c>
      <c r="AA429" t="s">
        <v>74</v>
      </c>
      <c r="AB429" t="s">
        <v>74</v>
      </c>
      <c r="AC429" t="s">
        <v>74</v>
      </c>
      <c r="AD429" t="s">
        <v>74</v>
      </c>
      <c r="AE429" t="s">
        <v>74</v>
      </c>
      <c r="AF429" t="s">
        <v>74</v>
      </c>
      <c r="AG429">
        <v>76</v>
      </c>
      <c r="AH429">
        <v>53</v>
      </c>
      <c r="AI429">
        <v>59</v>
      </c>
      <c r="AJ429">
        <v>0</v>
      </c>
      <c r="AK429">
        <v>22</v>
      </c>
      <c r="AL429" t="s">
        <v>213</v>
      </c>
      <c r="AM429" t="s">
        <v>214</v>
      </c>
      <c r="AN429" t="s">
        <v>215</v>
      </c>
      <c r="AO429" t="s">
        <v>6083</v>
      </c>
      <c r="AP429" t="s">
        <v>6084</v>
      </c>
      <c r="AQ429" t="s">
        <v>74</v>
      </c>
      <c r="AR429" t="s">
        <v>6085</v>
      </c>
      <c r="AS429" t="s">
        <v>6086</v>
      </c>
      <c r="AT429" t="s">
        <v>74</v>
      </c>
      <c r="AU429">
        <v>2004</v>
      </c>
      <c r="AV429">
        <v>51</v>
      </c>
      <c r="AW429" t="s">
        <v>6267</v>
      </c>
      <c r="AX429" t="s">
        <v>74</v>
      </c>
      <c r="AY429" t="s">
        <v>74</v>
      </c>
      <c r="AZ429" t="s">
        <v>74</v>
      </c>
      <c r="BA429" t="s">
        <v>74</v>
      </c>
      <c r="BB429">
        <v>1733</v>
      </c>
      <c r="BC429">
        <v>1752</v>
      </c>
      <c r="BD429" t="s">
        <v>74</v>
      </c>
      <c r="BE429" t="s">
        <v>6400</v>
      </c>
      <c r="BF429" t="str">
        <f>HYPERLINK("http://dx.doi.org/10.1016/j.dsr2.2004.06.032","http://dx.doi.org/10.1016/j.dsr2.2004.06.032")</f>
        <v>http://dx.doi.org/10.1016/j.dsr2.2004.06.032</v>
      </c>
      <c r="BG429" t="s">
        <v>74</v>
      </c>
      <c r="BH429" t="s">
        <v>74</v>
      </c>
      <c r="BI429">
        <v>20</v>
      </c>
      <c r="BJ429" t="s">
        <v>477</v>
      </c>
      <c r="BK429" t="s">
        <v>96</v>
      </c>
      <c r="BL429" t="s">
        <v>477</v>
      </c>
      <c r="BM429" t="s">
        <v>6269</v>
      </c>
      <c r="BN429" t="s">
        <v>74</v>
      </c>
      <c r="BO429" t="s">
        <v>479</v>
      </c>
      <c r="BP429" t="s">
        <v>74</v>
      </c>
      <c r="BQ429" t="s">
        <v>74</v>
      </c>
      <c r="BR429" t="s">
        <v>99</v>
      </c>
      <c r="BS429" t="s">
        <v>6401</v>
      </c>
      <c r="BT429" t="str">
        <f>HYPERLINK("https%3A%2F%2Fwww.webofscience.com%2Fwos%2Fwoscc%2Ffull-record%2FWOS:000225890600016","View Full Record in Web of Science")</f>
        <v>View Full Record in Web of Science</v>
      </c>
    </row>
    <row r="430" spans="1:72" x14ac:dyDescent="0.15">
      <c r="A430" t="s">
        <v>72</v>
      </c>
      <c r="B430" t="s">
        <v>6402</v>
      </c>
      <c r="C430" t="s">
        <v>74</v>
      </c>
      <c r="D430" t="s">
        <v>74</v>
      </c>
      <c r="E430" t="s">
        <v>74</v>
      </c>
      <c r="F430" t="s">
        <v>6402</v>
      </c>
      <c r="G430" t="s">
        <v>74</v>
      </c>
      <c r="H430" t="s">
        <v>74</v>
      </c>
      <c r="I430" t="s">
        <v>6403</v>
      </c>
      <c r="J430" t="s">
        <v>6078</v>
      </c>
      <c r="K430" t="s">
        <v>74</v>
      </c>
      <c r="L430" t="s">
        <v>74</v>
      </c>
      <c r="M430" t="s">
        <v>77</v>
      </c>
      <c r="N430" t="s">
        <v>268</v>
      </c>
      <c r="O430" t="s">
        <v>74</v>
      </c>
      <c r="P430" t="s">
        <v>74</v>
      </c>
      <c r="Q430" t="s">
        <v>74</v>
      </c>
      <c r="R430" t="s">
        <v>74</v>
      </c>
      <c r="S430" t="s">
        <v>74</v>
      </c>
      <c r="T430" t="s">
        <v>74</v>
      </c>
      <c r="U430" t="s">
        <v>6404</v>
      </c>
      <c r="V430" t="s">
        <v>6405</v>
      </c>
      <c r="W430" t="s">
        <v>6406</v>
      </c>
      <c r="X430" t="s">
        <v>6407</v>
      </c>
      <c r="Y430" t="s">
        <v>6408</v>
      </c>
      <c r="Z430" t="s">
        <v>963</v>
      </c>
      <c r="AA430" t="s">
        <v>6409</v>
      </c>
      <c r="AB430" t="s">
        <v>6310</v>
      </c>
      <c r="AC430" t="s">
        <v>74</v>
      </c>
      <c r="AD430" t="s">
        <v>74</v>
      </c>
      <c r="AE430" t="s">
        <v>74</v>
      </c>
      <c r="AF430" t="s">
        <v>74</v>
      </c>
      <c r="AG430">
        <v>117</v>
      </c>
      <c r="AH430">
        <v>63</v>
      </c>
      <c r="AI430">
        <v>70</v>
      </c>
      <c r="AJ430">
        <v>0</v>
      </c>
      <c r="AK430">
        <v>11</v>
      </c>
      <c r="AL430" t="s">
        <v>213</v>
      </c>
      <c r="AM430" t="s">
        <v>214</v>
      </c>
      <c r="AN430" t="s">
        <v>215</v>
      </c>
      <c r="AO430" t="s">
        <v>6083</v>
      </c>
      <c r="AP430" t="s">
        <v>6084</v>
      </c>
      <c r="AQ430" t="s">
        <v>74</v>
      </c>
      <c r="AR430" t="s">
        <v>6085</v>
      </c>
      <c r="AS430" t="s">
        <v>6086</v>
      </c>
      <c r="AT430" t="s">
        <v>74</v>
      </c>
      <c r="AU430">
        <v>2004</v>
      </c>
      <c r="AV430">
        <v>51</v>
      </c>
      <c r="AW430" t="s">
        <v>6267</v>
      </c>
      <c r="AX430" t="s">
        <v>74</v>
      </c>
      <c r="AY430" t="s">
        <v>74</v>
      </c>
      <c r="AZ430" t="s">
        <v>74</v>
      </c>
      <c r="BA430" t="s">
        <v>74</v>
      </c>
      <c r="BB430">
        <v>1753</v>
      </c>
      <c r="BC430">
        <v>1768</v>
      </c>
      <c r="BD430" t="s">
        <v>74</v>
      </c>
      <c r="BE430" t="s">
        <v>6410</v>
      </c>
      <c r="BF430" t="str">
        <f>HYPERLINK("http://dx.doi.org/10.1016/j.dsr2.2004.06.033","http://dx.doi.org/10.1016/j.dsr2.2004.06.033")</f>
        <v>http://dx.doi.org/10.1016/j.dsr2.2004.06.033</v>
      </c>
      <c r="BG430" t="s">
        <v>74</v>
      </c>
      <c r="BH430" t="s">
        <v>74</v>
      </c>
      <c r="BI430">
        <v>16</v>
      </c>
      <c r="BJ430" t="s">
        <v>477</v>
      </c>
      <c r="BK430" t="s">
        <v>96</v>
      </c>
      <c r="BL430" t="s">
        <v>477</v>
      </c>
      <c r="BM430" t="s">
        <v>6269</v>
      </c>
      <c r="BN430" t="s">
        <v>74</v>
      </c>
      <c r="BO430" t="s">
        <v>74</v>
      </c>
      <c r="BP430" t="s">
        <v>74</v>
      </c>
      <c r="BQ430" t="s">
        <v>74</v>
      </c>
      <c r="BR430" t="s">
        <v>99</v>
      </c>
      <c r="BS430" t="s">
        <v>6411</v>
      </c>
      <c r="BT430" t="str">
        <f>HYPERLINK("https%3A%2F%2Fwww.webofscience.com%2Fwos%2Fwoscc%2Ffull-record%2FWOS:000225890600017","View Full Record in Web of Science")</f>
        <v>View Full Record in Web of Science</v>
      </c>
    </row>
    <row r="431" spans="1:72" x14ac:dyDescent="0.15">
      <c r="A431" t="s">
        <v>72</v>
      </c>
      <c r="B431" t="s">
        <v>6412</v>
      </c>
      <c r="C431" t="s">
        <v>74</v>
      </c>
      <c r="D431" t="s">
        <v>74</v>
      </c>
      <c r="E431" t="s">
        <v>74</v>
      </c>
      <c r="F431" t="s">
        <v>6412</v>
      </c>
      <c r="G431" t="s">
        <v>74</v>
      </c>
      <c r="H431" t="s">
        <v>74</v>
      </c>
      <c r="I431" t="s">
        <v>6413</v>
      </c>
      <c r="J431" t="s">
        <v>6078</v>
      </c>
      <c r="K431" t="s">
        <v>74</v>
      </c>
      <c r="L431" t="s">
        <v>74</v>
      </c>
      <c r="M431" t="s">
        <v>77</v>
      </c>
      <c r="N431" t="s">
        <v>78</v>
      </c>
      <c r="O431" t="s">
        <v>74</v>
      </c>
      <c r="P431" t="s">
        <v>74</v>
      </c>
      <c r="Q431" t="s">
        <v>74</v>
      </c>
      <c r="R431" t="s">
        <v>74</v>
      </c>
      <c r="S431" t="s">
        <v>74</v>
      </c>
      <c r="T431" t="s">
        <v>74</v>
      </c>
      <c r="U431" t="s">
        <v>6414</v>
      </c>
      <c r="V431" t="s">
        <v>6415</v>
      </c>
      <c r="W431" t="s">
        <v>6416</v>
      </c>
      <c r="X431" t="s">
        <v>6417</v>
      </c>
      <c r="Y431" t="s">
        <v>6418</v>
      </c>
      <c r="Z431" t="s">
        <v>6419</v>
      </c>
      <c r="AA431" t="s">
        <v>74</v>
      </c>
      <c r="AB431" t="s">
        <v>6420</v>
      </c>
      <c r="AC431" t="s">
        <v>74</v>
      </c>
      <c r="AD431" t="s">
        <v>74</v>
      </c>
      <c r="AE431" t="s">
        <v>74</v>
      </c>
      <c r="AF431" t="s">
        <v>74</v>
      </c>
      <c r="AG431">
        <v>49</v>
      </c>
      <c r="AH431">
        <v>27</v>
      </c>
      <c r="AI431">
        <v>29</v>
      </c>
      <c r="AJ431">
        <v>2</v>
      </c>
      <c r="AK431">
        <v>6</v>
      </c>
      <c r="AL431" t="s">
        <v>213</v>
      </c>
      <c r="AM431" t="s">
        <v>214</v>
      </c>
      <c r="AN431" t="s">
        <v>215</v>
      </c>
      <c r="AO431" t="s">
        <v>6083</v>
      </c>
      <c r="AP431" t="s">
        <v>6084</v>
      </c>
      <c r="AQ431" t="s">
        <v>74</v>
      </c>
      <c r="AR431" t="s">
        <v>6085</v>
      </c>
      <c r="AS431" t="s">
        <v>6086</v>
      </c>
      <c r="AT431" t="s">
        <v>74</v>
      </c>
      <c r="AU431">
        <v>2004</v>
      </c>
      <c r="AV431">
        <v>51</v>
      </c>
      <c r="AW431" t="s">
        <v>6267</v>
      </c>
      <c r="AX431" t="s">
        <v>74</v>
      </c>
      <c r="AY431" t="s">
        <v>74</v>
      </c>
      <c r="AZ431" t="s">
        <v>74</v>
      </c>
      <c r="BA431" t="s">
        <v>74</v>
      </c>
      <c r="BB431">
        <v>1797</v>
      </c>
      <c r="BC431">
        <v>1815</v>
      </c>
      <c r="BD431" t="s">
        <v>74</v>
      </c>
      <c r="BE431" t="s">
        <v>6421</v>
      </c>
      <c r="BF431" t="str">
        <f>HYPERLINK("http://dx.doi.org/10.1016/j.dsr2.2004.07.014","http://dx.doi.org/10.1016/j.dsr2.2004.07.014")</f>
        <v>http://dx.doi.org/10.1016/j.dsr2.2004.07.014</v>
      </c>
      <c r="BG431" t="s">
        <v>74</v>
      </c>
      <c r="BH431" t="s">
        <v>74</v>
      </c>
      <c r="BI431">
        <v>19</v>
      </c>
      <c r="BJ431" t="s">
        <v>477</v>
      </c>
      <c r="BK431" t="s">
        <v>96</v>
      </c>
      <c r="BL431" t="s">
        <v>477</v>
      </c>
      <c r="BM431" t="s">
        <v>6269</v>
      </c>
      <c r="BN431" t="s">
        <v>74</v>
      </c>
      <c r="BO431" t="s">
        <v>74</v>
      </c>
      <c r="BP431" t="s">
        <v>74</v>
      </c>
      <c r="BQ431" t="s">
        <v>74</v>
      </c>
      <c r="BR431" t="s">
        <v>99</v>
      </c>
      <c r="BS431" t="s">
        <v>6422</v>
      </c>
      <c r="BT431" t="str">
        <f>HYPERLINK("https%3A%2F%2Fwww.webofscience.com%2Fwos%2Fwoscc%2Ffull-record%2FWOS:000225890600020","View Full Record in Web of Science")</f>
        <v>View Full Record in Web of Science</v>
      </c>
    </row>
    <row r="432" spans="1:72" x14ac:dyDescent="0.15">
      <c r="A432" t="s">
        <v>72</v>
      </c>
      <c r="B432" t="s">
        <v>6423</v>
      </c>
      <c r="C432" t="s">
        <v>74</v>
      </c>
      <c r="D432" t="s">
        <v>74</v>
      </c>
      <c r="E432" t="s">
        <v>74</v>
      </c>
      <c r="F432" t="s">
        <v>6423</v>
      </c>
      <c r="G432" t="s">
        <v>74</v>
      </c>
      <c r="H432" t="s">
        <v>74</v>
      </c>
      <c r="I432" t="s">
        <v>6424</v>
      </c>
      <c r="J432" t="s">
        <v>6078</v>
      </c>
      <c r="K432" t="s">
        <v>74</v>
      </c>
      <c r="L432" t="s">
        <v>74</v>
      </c>
      <c r="M432" t="s">
        <v>77</v>
      </c>
      <c r="N432" t="s">
        <v>78</v>
      </c>
      <c r="O432" t="s">
        <v>74</v>
      </c>
      <c r="P432" t="s">
        <v>74</v>
      </c>
      <c r="Q432" t="s">
        <v>74</v>
      </c>
      <c r="R432" t="s">
        <v>74</v>
      </c>
      <c r="S432" t="s">
        <v>74</v>
      </c>
      <c r="T432" t="s">
        <v>74</v>
      </c>
      <c r="U432" t="s">
        <v>6425</v>
      </c>
      <c r="V432" t="s">
        <v>6426</v>
      </c>
      <c r="W432" t="s">
        <v>6427</v>
      </c>
      <c r="X432" t="s">
        <v>82</v>
      </c>
      <c r="Y432" t="s">
        <v>3086</v>
      </c>
      <c r="Z432" t="s">
        <v>6428</v>
      </c>
      <c r="AA432" t="s">
        <v>74</v>
      </c>
      <c r="AB432" t="s">
        <v>6429</v>
      </c>
      <c r="AC432" t="s">
        <v>74</v>
      </c>
      <c r="AD432" t="s">
        <v>74</v>
      </c>
      <c r="AE432" t="s">
        <v>74</v>
      </c>
      <c r="AF432" t="s">
        <v>74</v>
      </c>
      <c r="AG432">
        <v>65</v>
      </c>
      <c r="AH432">
        <v>31</v>
      </c>
      <c r="AI432">
        <v>33</v>
      </c>
      <c r="AJ432">
        <v>0</v>
      </c>
      <c r="AK432">
        <v>11</v>
      </c>
      <c r="AL432" t="s">
        <v>213</v>
      </c>
      <c r="AM432" t="s">
        <v>214</v>
      </c>
      <c r="AN432" t="s">
        <v>215</v>
      </c>
      <c r="AO432" t="s">
        <v>6083</v>
      </c>
      <c r="AP432" t="s">
        <v>6084</v>
      </c>
      <c r="AQ432" t="s">
        <v>74</v>
      </c>
      <c r="AR432" t="s">
        <v>6085</v>
      </c>
      <c r="AS432" t="s">
        <v>6086</v>
      </c>
      <c r="AT432" t="s">
        <v>74</v>
      </c>
      <c r="AU432">
        <v>2004</v>
      </c>
      <c r="AV432">
        <v>51</v>
      </c>
      <c r="AW432" t="s">
        <v>6267</v>
      </c>
      <c r="AX432" t="s">
        <v>74</v>
      </c>
      <c r="AY432" t="s">
        <v>74</v>
      </c>
      <c r="AZ432" t="s">
        <v>74</v>
      </c>
      <c r="BA432" t="s">
        <v>74</v>
      </c>
      <c r="BB432">
        <v>1827</v>
      </c>
      <c r="BC432">
        <v>1837</v>
      </c>
      <c r="BD432" t="s">
        <v>74</v>
      </c>
      <c r="BE432" t="s">
        <v>6430</v>
      </c>
      <c r="BF432" t="str">
        <f>HYPERLINK("http://dx.doi.org/10.1016/j.dsr2.2004.07.016","http://dx.doi.org/10.1016/j.dsr2.2004.07.016")</f>
        <v>http://dx.doi.org/10.1016/j.dsr2.2004.07.016</v>
      </c>
      <c r="BG432" t="s">
        <v>74</v>
      </c>
      <c r="BH432" t="s">
        <v>74</v>
      </c>
      <c r="BI432">
        <v>11</v>
      </c>
      <c r="BJ432" t="s">
        <v>477</v>
      </c>
      <c r="BK432" t="s">
        <v>96</v>
      </c>
      <c r="BL432" t="s">
        <v>477</v>
      </c>
      <c r="BM432" t="s">
        <v>6269</v>
      </c>
      <c r="BN432" t="s">
        <v>74</v>
      </c>
      <c r="BO432" t="s">
        <v>74</v>
      </c>
      <c r="BP432" t="s">
        <v>74</v>
      </c>
      <c r="BQ432" t="s">
        <v>74</v>
      </c>
      <c r="BR432" t="s">
        <v>99</v>
      </c>
      <c r="BS432" t="s">
        <v>6431</v>
      </c>
      <c r="BT432" t="str">
        <f>HYPERLINK("https%3A%2F%2Fwww.webofscience.com%2Fwos%2Fwoscc%2Ffull-record%2FWOS:000225890600022","View Full Record in Web of Science")</f>
        <v>View Full Record in Web of Science</v>
      </c>
    </row>
    <row r="433" spans="1:72" x14ac:dyDescent="0.15">
      <c r="A433" t="s">
        <v>72</v>
      </c>
      <c r="B433" t="s">
        <v>6432</v>
      </c>
      <c r="C433" t="s">
        <v>74</v>
      </c>
      <c r="D433" t="s">
        <v>74</v>
      </c>
      <c r="E433" t="s">
        <v>74</v>
      </c>
      <c r="F433" t="s">
        <v>6432</v>
      </c>
      <c r="G433" t="s">
        <v>74</v>
      </c>
      <c r="H433" t="s">
        <v>74</v>
      </c>
      <c r="I433" t="s">
        <v>6433</v>
      </c>
      <c r="J433" t="s">
        <v>6078</v>
      </c>
      <c r="K433" t="s">
        <v>74</v>
      </c>
      <c r="L433" t="s">
        <v>74</v>
      </c>
      <c r="M433" t="s">
        <v>77</v>
      </c>
      <c r="N433" t="s">
        <v>268</v>
      </c>
      <c r="O433" t="s">
        <v>74</v>
      </c>
      <c r="P433" t="s">
        <v>74</v>
      </c>
      <c r="Q433" t="s">
        <v>74</v>
      </c>
      <c r="R433" t="s">
        <v>74</v>
      </c>
      <c r="S433" t="s">
        <v>74</v>
      </c>
      <c r="T433" t="s">
        <v>74</v>
      </c>
      <c r="U433" t="s">
        <v>6434</v>
      </c>
      <c r="V433" t="s">
        <v>6435</v>
      </c>
      <c r="W433" t="s">
        <v>6436</v>
      </c>
      <c r="X433" t="s">
        <v>6437</v>
      </c>
      <c r="Y433" t="s">
        <v>6438</v>
      </c>
      <c r="Z433" t="s">
        <v>6439</v>
      </c>
      <c r="AA433" t="s">
        <v>6440</v>
      </c>
      <c r="AB433" t="s">
        <v>6441</v>
      </c>
      <c r="AC433" t="s">
        <v>74</v>
      </c>
      <c r="AD433" t="s">
        <v>74</v>
      </c>
      <c r="AE433" t="s">
        <v>74</v>
      </c>
      <c r="AF433" t="s">
        <v>74</v>
      </c>
      <c r="AG433">
        <v>102</v>
      </c>
      <c r="AH433">
        <v>35</v>
      </c>
      <c r="AI433">
        <v>38</v>
      </c>
      <c r="AJ433">
        <v>0</v>
      </c>
      <c r="AK433">
        <v>8</v>
      </c>
      <c r="AL433" t="s">
        <v>213</v>
      </c>
      <c r="AM433" t="s">
        <v>214</v>
      </c>
      <c r="AN433" t="s">
        <v>215</v>
      </c>
      <c r="AO433" t="s">
        <v>6083</v>
      </c>
      <c r="AP433" t="s">
        <v>6084</v>
      </c>
      <c r="AQ433" t="s">
        <v>74</v>
      </c>
      <c r="AR433" t="s">
        <v>6085</v>
      </c>
      <c r="AS433" t="s">
        <v>6086</v>
      </c>
      <c r="AT433" t="s">
        <v>74</v>
      </c>
      <c r="AU433">
        <v>2004</v>
      </c>
      <c r="AV433">
        <v>51</v>
      </c>
      <c r="AW433" t="s">
        <v>6267</v>
      </c>
      <c r="AX433" t="s">
        <v>74</v>
      </c>
      <c r="AY433" t="s">
        <v>74</v>
      </c>
      <c r="AZ433" t="s">
        <v>74</v>
      </c>
      <c r="BA433" t="s">
        <v>74</v>
      </c>
      <c r="BB433">
        <v>1839</v>
      </c>
      <c r="BC433">
        <v>1855</v>
      </c>
      <c r="BD433" t="s">
        <v>74</v>
      </c>
      <c r="BE433" t="s">
        <v>6442</v>
      </c>
      <c r="BF433" t="str">
        <f>HYPERLINK("http://dx.doi.org/10.1016/j.dsr2.2004.07.017","http://dx.doi.org/10.1016/j.dsr2.2004.07.017")</f>
        <v>http://dx.doi.org/10.1016/j.dsr2.2004.07.017</v>
      </c>
      <c r="BG433" t="s">
        <v>74</v>
      </c>
      <c r="BH433" t="s">
        <v>74</v>
      </c>
      <c r="BI433">
        <v>17</v>
      </c>
      <c r="BJ433" t="s">
        <v>477</v>
      </c>
      <c r="BK433" t="s">
        <v>96</v>
      </c>
      <c r="BL433" t="s">
        <v>477</v>
      </c>
      <c r="BM433" t="s">
        <v>6269</v>
      </c>
      <c r="BN433" t="s">
        <v>74</v>
      </c>
      <c r="BO433" t="s">
        <v>74</v>
      </c>
      <c r="BP433" t="s">
        <v>74</v>
      </c>
      <c r="BQ433" t="s">
        <v>74</v>
      </c>
      <c r="BR433" t="s">
        <v>99</v>
      </c>
      <c r="BS433" t="s">
        <v>6443</v>
      </c>
      <c r="BT433" t="str">
        <f>HYPERLINK("https%3A%2F%2Fwww.webofscience.com%2Fwos%2Fwoscc%2Ffull-record%2FWOS:000225890600023","View Full Record in Web of Science")</f>
        <v>View Full Record in Web of Science</v>
      </c>
    </row>
    <row r="434" spans="1:72" x14ac:dyDescent="0.15">
      <c r="A434" t="s">
        <v>72</v>
      </c>
      <c r="B434" t="s">
        <v>6444</v>
      </c>
      <c r="C434" t="s">
        <v>74</v>
      </c>
      <c r="D434" t="s">
        <v>74</v>
      </c>
      <c r="E434" t="s">
        <v>74</v>
      </c>
      <c r="F434" t="s">
        <v>6444</v>
      </c>
      <c r="G434" t="s">
        <v>74</v>
      </c>
      <c r="H434" t="s">
        <v>74</v>
      </c>
      <c r="I434" t="s">
        <v>6445</v>
      </c>
      <c r="J434" t="s">
        <v>6078</v>
      </c>
      <c r="K434" t="s">
        <v>74</v>
      </c>
      <c r="L434" t="s">
        <v>74</v>
      </c>
      <c r="M434" t="s">
        <v>77</v>
      </c>
      <c r="N434" t="s">
        <v>78</v>
      </c>
      <c r="O434" t="s">
        <v>74</v>
      </c>
      <c r="P434" t="s">
        <v>74</v>
      </c>
      <c r="Q434" t="s">
        <v>74</v>
      </c>
      <c r="R434" t="s">
        <v>74</v>
      </c>
      <c r="S434" t="s">
        <v>74</v>
      </c>
      <c r="T434" t="s">
        <v>74</v>
      </c>
      <c r="U434" t="s">
        <v>6446</v>
      </c>
      <c r="V434" t="s">
        <v>6447</v>
      </c>
      <c r="W434" t="s">
        <v>6448</v>
      </c>
      <c r="X434" t="s">
        <v>6449</v>
      </c>
      <c r="Y434" t="s">
        <v>6450</v>
      </c>
      <c r="Z434" t="s">
        <v>6451</v>
      </c>
      <c r="AA434" t="s">
        <v>6452</v>
      </c>
      <c r="AB434" t="s">
        <v>74</v>
      </c>
      <c r="AC434" t="s">
        <v>74</v>
      </c>
      <c r="AD434" t="s">
        <v>74</v>
      </c>
      <c r="AE434" t="s">
        <v>74</v>
      </c>
      <c r="AF434" t="s">
        <v>74</v>
      </c>
      <c r="AG434">
        <v>70</v>
      </c>
      <c r="AH434">
        <v>48</v>
      </c>
      <c r="AI434">
        <v>55</v>
      </c>
      <c r="AJ434">
        <v>0</v>
      </c>
      <c r="AK434">
        <v>14</v>
      </c>
      <c r="AL434" t="s">
        <v>213</v>
      </c>
      <c r="AM434" t="s">
        <v>214</v>
      </c>
      <c r="AN434" t="s">
        <v>215</v>
      </c>
      <c r="AO434" t="s">
        <v>6083</v>
      </c>
      <c r="AP434" t="s">
        <v>6084</v>
      </c>
      <c r="AQ434" t="s">
        <v>74</v>
      </c>
      <c r="AR434" t="s">
        <v>6085</v>
      </c>
      <c r="AS434" t="s">
        <v>6086</v>
      </c>
      <c r="AT434" t="s">
        <v>74</v>
      </c>
      <c r="AU434">
        <v>2004</v>
      </c>
      <c r="AV434">
        <v>51</v>
      </c>
      <c r="AW434" t="s">
        <v>6267</v>
      </c>
      <c r="AX434" t="s">
        <v>74</v>
      </c>
      <c r="AY434" t="s">
        <v>74</v>
      </c>
      <c r="AZ434" t="s">
        <v>74</v>
      </c>
      <c r="BA434" t="s">
        <v>74</v>
      </c>
      <c r="BB434">
        <v>1857</v>
      </c>
      <c r="BC434">
        <v>1882</v>
      </c>
      <c r="BD434" t="s">
        <v>74</v>
      </c>
      <c r="BE434" t="s">
        <v>6453</v>
      </c>
      <c r="BF434" t="str">
        <f>HYPERLINK("http://dx.doi.org/10.1016/j.dsr2.2004.07.018","http://dx.doi.org/10.1016/j.dsr2.2004.07.018")</f>
        <v>http://dx.doi.org/10.1016/j.dsr2.2004.07.018</v>
      </c>
      <c r="BG434" t="s">
        <v>74</v>
      </c>
      <c r="BH434" t="s">
        <v>74</v>
      </c>
      <c r="BI434">
        <v>26</v>
      </c>
      <c r="BJ434" t="s">
        <v>477</v>
      </c>
      <c r="BK434" t="s">
        <v>96</v>
      </c>
      <c r="BL434" t="s">
        <v>477</v>
      </c>
      <c r="BM434" t="s">
        <v>6269</v>
      </c>
      <c r="BN434" t="s">
        <v>74</v>
      </c>
      <c r="BO434" t="s">
        <v>74</v>
      </c>
      <c r="BP434" t="s">
        <v>74</v>
      </c>
      <c r="BQ434" t="s">
        <v>74</v>
      </c>
      <c r="BR434" t="s">
        <v>99</v>
      </c>
      <c r="BS434" t="s">
        <v>6454</v>
      </c>
      <c r="BT434" t="str">
        <f>HYPERLINK("https%3A%2F%2Fwww.webofscience.com%2Fwos%2Fwoscc%2Ffull-record%2FWOS:000225890600024","View Full Record in Web of Science")</f>
        <v>View Full Record in Web of Science</v>
      </c>
    </row>
    <row r="435" spans="1:72" x14ac:dyDescent="0.15">
      <c r="A435" t="s">
        <v>72</v>
      </c>
      <c r="B435" t="s">
        <v>6455</v>
      </c>
      <c r="C435" t="s">
        <v>74</v>
      </c>
      <c r="D435" t="s">
        <v>74</v>
      </c>
      <c r="E435" t="s">
        <v>74</v>
      </c>
      <c r="F435" t="s">
        <v>6455</v>
      </c>
      <c r="G435" t="s">
        <v>74</v>
      </c>
      <c r="H435" t="s">
        <v>74</v>
      </c>
      <c r="I435" t="s">
        <v>6456</v>
      </c>
      <c r="J435" t="s">
        <v>6078</v>
      </c>
      <c r="K435" t="s">
        <v>74</v>
      </c>
      <c r="L435" t="s">
        <v>74</v>
      </c>
      <c r="M435" t="s">
        <v>77</v>
      </c>
      <c r="N435" t="s">
        <v>78</v>
      </c>
      <c r="O435" t="s">
        <v>74</v>
      </c>
      <c r="P435" t="s">
        <v>74</v>
      </c>
      <c r="Q435" t="s">
        <v>74</v>
      </c>
      <c r="R435" t="s">
        <v>74</v>
      </c>
      <c r="S435" t="s">
        <v>74</v>
      </c>
      <c r="T435" t="s">
        <v>74</v>
      </c>
      <c r="U435" t="s">
        <v>6457</v>
      </c>
      <c r="V435" t="s">
        <v>6458</v>
      </c>
      <c r="W435" t="s">
        <v>6459</v>
      </c>
      <c r="X435" t="s">
        <v>6460</v>
      </c>
      <c r="Y435" t="s">
        <v>6461</v>
      </c>
      <c r="Z435" t="s">
        <v>6462</v>
      </c>
      <c r="AA435" t="s">
        <v>6463</v>
      </c>
      <c r="AB435" t="s">
        <v>6464</v>
      </c>
      <c r="AC435" t="s">
        <v>74</v>
      </c>
      <c r="AD435" t="s">
        <v>74</v>
      </c>
      <c r="AE435" t="s">
        <v>74</v>
      </c>
      <c r="AF435" t="s">
        <v>74</v>
      </c>
      <c r="AG435">
        <v>18</v>
      </c>
      <c r="AH435">
        <v>18</v>
      </c>
      <c r="AI435">
        <v>20</v>
      </c>
      <c r="AJ435">
        <v>0</v>
      </c>
      <c r="AK435">
        <v>9</v>
      </c>
      <c r="AL435" t="s">
        <v>213</v>
      </c>
      <c r="AM435" t="s">
        <v>214</v>
      </c>
      <c r="AN435" t="s">
        <v>215</v>
      </c>
      <c r="AO435" t="s">
        <v>6083</v>
      </c>
      <c r="AP435" t="s">
        <v>6084</v>
      </c>
      <c r="AQ435" t="s">
        <v>74</v>
      </c>
      <c r="AR435" t="s">
        <v>6085</v>
      </c>
      <c r="AS435" t="s">
        <v>6086</v>
      </c>
      <c r="AT435" t="s">
        <v>74</v>
      </c>
      <c r="AU435">
        <v>2004</v>
      </c>
      <c r="AV435">
        <v>51</v>
      </c>
      <c r="AW435" t="s">
        <v>6267</v>
      </c>
      <c r="AX435" t="s">
        <v>74</v>
      </c>
      <c r="AY435" t="s">
        <v>74</v>
      </c>
      <c r="AZ435" t="s">
        <v>74</v>
      </c>
      <c r="BA435" t="s">
        <v>74</v>
      </c>
      <c r="BB435">
        <v>1883</v>
      </c>
      <c r="BC435">
        <v>1901</v>
      </c>
      <c r="BD435" t="s">
        <v>74</v>
      </c>
      <c r="BE435" t="s">
        <v>6465</v>
      </c>
      <c r="BF435" t="str">
        <f>HYPERLINK("http://dx.doi.org/10.1016/j.dsr2.2004.07.019","http://dx.doi.org/10.1016/j.dsr2.2004.07.019")</f>
        <v>http://dx.doi.org/10.1016/j.dsr2.2004.07.019</v>
      </c>
      <c r="BG435" t="s">
        <v>74</v>
      </c>
      <c r="BH435" t="s">
        <v>74</v>
      </c>
      <c r="BI435">
        <v>19</v>
      </c>
      <c r="BJ435" t="s">
        <v>477</v>
      </c>
      <c r="BK435" t="s">
        <v>96</v>
      </c>
      <c r="BL435" t="s">
        <v>477</v>
      </c>
      <c r="BM435" t="s">
        <v>6269</v>
      </c>
      <c r="BN435" t="s">
        <v>74</v>
      </c>
      <c r="BO435" t="s">
        <v>74</v>
      </c>
      <c r="BP435" t="s">
        <v>74</v>
      </c>
      <c r="BQ435" t="s">
        <v>74</v>
      </c>
      <c r="BR435" t="s">
        <v>99</v>
      </c>
      <c r="BS435" t="s">
        <v>6466</v>
      </c>
      <c r="BT435" t="str">
        <f>HYPERLINK("https%3A%2F%2Fwww.webofscience.com%2Fwos%2Fwoscc%2Ffull-record%2FWOS:000225890600025","View Full Record in Web of Science")</f>
        <v>View Full Record in Web of Science</v>
      </c>
    </row>
    <row r="436" spans="1:72" x14ac:dyDescent="0.15">
      <c r="A436" t="s">
        <v>72</v>
      </c>
      <c r="B436" t="s">
        <v>6467</v>
      </c>
      <c r="C436" t="s">
        <v>74</v>
      </c>
      <c r="D436" t="s">
        <v>74</v>
      </c>
      <c r="E436" t="s">
        <v>74</v>
      </c>
      <c r="F436" t="s">
        <v>6467</v>
      </c>
      <c r="G436" t="s">
        <v>74</v>
      </c>
      <c r="H436" t="s">
        <v>74</v>
      </c>
      <c r="I436" t="s">
        <v>6468</v>
      </c>
      <c r="J436" t="s">
        <v>6078</v>
      </c>
      <c r="K436" t="s">
        <v>74</v>
      </c>
      <c r="L436" t="s">
        <v>74</v>
      </c>
      <c r="M436" t="s">
        <v>77</v>
      </c>
      <c r="N436" t="s">
        <v>78</v>
      </c>
      <c r="O436" t="s">
        <v>74</v>
      </c>
      <c r="P436" t="s">
        <v>74</v>
      </c>
      <c r="Q436" t="s">
        <v>74</v>
      </c>
      <c r="R436" t="s">
        <v>74</v>
      </c>
      <c r="S436" t="s">
        <v>74</v>
      </c>
      <c r="T436" t="s">
        <v>74</v>
      </c>
      <c r="U436" t="s">
        <v>74</v>
      </c>
      <c r="V436" t="s">
        <v>6469</v>
      </c>
      <c r="W436" t="s">
        <v>6470</v>
      </c>
      <c r="X436" t="s">
        <v>6471</v>
      </c>
      <c r="Y436" t="s">
        <v>6472</v>
      </c>
      <c r="Z436" t="s">
        <v>6473</v>
      </c>
      <c r="AA436" t="s">
        <v>74</v>
      </c>
      <c r="AB436" t="s">
        <v>6474</v>
      </c>
      <c r="AC436" t="s">
        <v>74</v>
      </c>
      <c r="AD436" t="s">
        <v>74</v>
      </c>
      <c r="AE436" t="s">
        <v>74</v>
      </c>
      <c r="AF436" t="s">
        <v>74</v>
      </c>
      <c r="AG436">
        <v>48</v>
      </c>
      <c r="AH436">
        <v>19</v>
      </c>
      <c r="AI436">
        <v>22</v>
      </c>
      <c r="AJ436">
        <v>0</v>
      </c>
      <c r="AK436">
        <v>4</v>
      </c>
      <c r="AL436" t="s">
        <v>213</v>
      </c>
      <c r="AM436" t="s">
        <v>214</v>
      </c>
      <c r="AN436" t="s">
        <v>215</v>
      </c>
      <c r="AO436" t="s">
        <v>6083</v>
      </c>
      <c r="AP436" t="s">
        <v>6084</v>
      </c>
      <c r="AQ436" t="s">
        <v>74</v>
      </c>
      <c r="AR436" t="s">
        <v>6085</v>
      </c>
      <c r="AS436" t="s">
        <v>6086</v>
      </c>
      <c r="AT436" t="s">
        <v>74</v>
      </c>
      <c r="AU436">
        <v>2004</v>
      </c>
      <c r="AV436">
        <v>51</v>
      </c>
      <c r="AW436" t="s">
        <v>6267</v>
      </c>
      <c r="AX436" t="s">
        <v>74</v>
      </c>
      <c r="AY436" t="s">
        <v>74</v>
      </c>
      <c r="AZ436" t="s">
        <v>74</v>
      </c>
      <c r="BA436" t="s">
        <v>74</v>
      </c>
      <c r="BB436">
        <v>1903</v>
      </c>
      <c r="BC436">
        <v>1919</v>
      </c>
      <c r="BD436" t="s">
        <v>74</v>
      </c>
      <c r="BE436" t="s">
        <v>6475</v>
      </c>
      <c r="BF436" t="str">
        <f>HYPERLINK("http://dx.doi.org/10.1016/j.dsr2.2004.07.020","http://dx.doi.org/10.1016/j.dsr2.2004.07.020")</f>
        <v>http://dx.doi.org/10.1016/j.dsr2.2004.07.020</v>
      </c>
      <c r="BG436" t="s">
        <v>74</v>
      </c>
      <c r="BH436" t="s">
        <v>74</v>
      </c>
      <c r="BI436">
        <v>17</v>
      </c>
      <c r="BJ436" t="s">
        <v>477</v>
      </c>
      <c r="BK436" t="s">
        <v>96</v>
      </c>
      <c r="BL436" t="s">
        <v>477</v>
      </c>
      <c r="BM436" t="s">
        <v>6269</v>
      </c>
      <c r="BN436" t="s">
        <v>74</v>
      </c>
      <c r="BO436" t="s">
        <v>74</v>
      </c>
      <c r="BP436" t="s">
        <v>74</v>
      </c>
      <c r="BQ436" t="s">
        <v>74</v>
      </c>
      <c r="BR436" t="s">
        <v>99</v>
      </c>
      <c r="BS436" t="s">
        <v>6476</v>
      </c>
      <c r="BT436" t="str">
        <f>HYPERLINK("https%3A%2F%2Fwww.webofscience.com%2Fwos%2Fwoscc%2Ffull-record%2FWOS:000225890600026","View Full Record in Web of Science")</f>
        <v>View Full Record in Web of Science</v>
      </c>
    </row>
    <row r="437" spans="1:72" x14ac:dyDescent="0.15">
      <c r="A437" t="s">
        <v>72</v>
      </c>
      <c r="B437" t="s">
        <v>6477</v>
      </c>
      <c r="C437" t="s">
        <v>74</v>
      </c>
      <c r="D437" t="s">
        <v>74</v>
      </c>
      <c r="E437" t="s">
        <v>74</v>
      </c>
      <c r="F437" t="s">
        <v>6477</v>
      </c>
      <c r="G437" t="s">
        <v>74</v>
      </c>
      <c r="H437" t="s">
        <v>74</v>
      </c>
      <c r="I437" t="s">
        <v>6478</v>
      </c>
      <c r="J437" t="s">
        <v>6078</v>
      </c>
      <c r="K437" t="s">
        <v>74</v>
      </c>
      <c r="L437" t="s">
        <v>74</v>
      </c>
      <c r="M437" t="s">
        <v>77</v>
      </c>
      <c r="N437" t="s">
        <v>78</v>
      </c>
      <c r="O437" t="s">
        <v>74</v>
      </c>
      <c r="P437" t="s">
        <v>74</v>
      </c>
      <c r="Q437" t="s">
        <v>74</v>
      </c>
      <c r="R437" t="s">
        <v>74</v>
      </c>
      <c r="S437" t="s">
        <v>74</v>
      </c>
      <c r="T437" t="s">
        <v>74</v>
      </c>
      <c r="U437" t="s">
        <v>6479</v>
      </c>
      <c r="V437" t="s">
        <v>6480</v>
      </c>
      <c r="W437" t="s">
        <v>6481</v>
      </c>
      <c r="X437" t="s">
        <v>6482</v>
      </c>
      <c r="Y437" t="s">
        <v>6483</v>
      </c>
      <c r="Z437" t="s">
        <v>6484</v>
      </c>
      <c r="AA437" t="s">
        <v>6485</v>
      </c>
      <c r="AB437" t="s">
        <v>6486</v>
      </c>
      <c r="AC437" t="s">
        <v>74</v>
      </c>
      <c r="AD437" t="s">
        <v>74</v>
      </c>
      <c r="AE437" t="s">
        <v>74</v>
      </c>
      <c r="AF437" t="s">
        <v>74</v>
      </c>
      <c r="AG437">
        <v>36</v>
      </c>
      <c r="AH437">
        <v>135</v>
      </c>
      <c r="AI437">
        <v>158</v>
      </c>
      <c r="AJ437">
        <v>1</v>
      </c>
      <c r="AK437">
        <v>22</v>
      </c>
      <c r="AL437" t="s">
        <v>213</v>
      </c>
      <c r="AM437" t="s">
        <v>214</v>
      </c>
      <c r="AN437" t="s">
        <v>215</v>
      </c>
      <c r="AO437" t="s">
        <v>6083</v>
      </c>
      <c r="AP437" t="s">
        <v>6084</v>
      </c>
      <c r="AQ437" t="s">
        <v>74</v>
      </c>
      <c r="AR437" t="s">
        <v>6085</v>
      </c>
      <c r="AS437" t="s">
        <v>6086</v>
      </c>
      <c r="AT437" t="s">
        <v>74</v>
      </c>
      <c r="AU437">
        <v>2004</v>
      </c>
      <c r="AV437">
        <v>51</v>
      </c>
      <c r="AW437" t="s">
        <v>6487</v>
      </c>
      <c r="AX437" t="s">
        <v>74</v>
      </c>
      <c r="AY437" t="s">
        <v>74</v>
      </c>
      <c r="AZ437" t="s">
        <v>74</v>
      </c>
      <c r="BA437" t="s">
        <v>74</v>
      </c>
      <c r="BB437">
        <v>1925</v>
      </c>
      <c r="BC437">
        <v>1946</v>
      </c>
      <c r="BD437" t="s">
        <v>74</v>
      </c>
      <c r="BE437" t="s">
        <v>6488</v>
      </c>
      <c r="BF437" t="str">
        <f>HYPERLINK("http://dx.doi.org/10.1016/j.dsr2.2004.08.001","http://dx.doi.org/10.1016/j.dsr2.2004.08.001")</f>
        <v>http://dx.doi.org/10.1016/j.dsr2.2004.08.001</v>
      </c>
      <c r="BG437" t="s">
        <v>74</v>
      </c>
      <c r="BH437" t="s">
        <v>74</v>
      </c>
      <c r="BI437">
        <v>22</v>
      </c>
      <c r="BJ437" t="s">
        <v>477</v>
      </c>
      <c r="BK437" t="s">
        <v>96</v>
      </c>
      <c r="BL437" t="s">
        <v>477</v>
      </c>
      <c r="BM437" t="s">
        <v>6489</v>
      </c>
      <c r="BN437" t="s">
        <v>74</v>
      </c>
      <c r="BO437" t="s">
        <v>74</v>
      </c>
      <c r="BP437" t="s">
        <v>74</v>
      </c>
      <c r="BQ437" t="s">
        <v>74</v>
      </c>
      <c r="BR437" t="s">
        <v>99</v>
      </c>
      <c r="BS437" t="s">
        <v>6490</v>
      </c>
      <c r="BT437" t="str">
        <f>HYPERLINK("https%3A%2F%2Fwww.webofscience.com%2Fwos%2Fwoscc%2Ffull-record%2FWOS:000226045100002","View Full Record in Web of Science")</f>
        <v>View Full Record in Web of Science</v>
      </c>
    </row>
    <row r="438" spans="1:72" x14ac:dyDescent="0.15">
      <c r="A438" t="s">
        <v>72</v>
      </c>
      <c r="B438" t="s">
        <v>6491</v>
      </c>
      <c r="C438" t="s">
        <v>74</v>
      </c>
      <c r="D438" t="s">
        <v>74</v>
      </c>
      <c r="E438" t="s">
        <v>74</v>
      </c>
      <c r="F438" t="s">
        <v>6491</v>
      </c>
      <c r="G438" t="s">
        <v>74</v>
      </c>
      <c r="H438" t="s">
        <v>74</v>
      </c>
      <c r="I438" t="s">
        <v>6492</v>
      </c>
      <c r="J438" t="s">
        <v>6078</v>
      </c>
      <c r="K438" t="s">
        <v>74</v>
      </c>
      <c r="L438" t="s">
        <v>74</v>
      </c>
      <c r="M438" t="s">
        <v>77</v>
      </c>
      <c r="N438" t="s">
        <v>78</v>
      </c>
      <c r="O438" t="s">
        <v>74</v>
      </c>
      <c r="P438" t="s">
        <v>74</v>
      </c>
      <c r="Q438" t="s">
        <v>74</v>
      </c>
      <c r="R438" t="s">
        <v>74</v>
      </c>
      <c r="S438" t="s">
        <v>74</v>
      </c>
      <c r="T438" t="s">
        <v>74</v>
      </c>
      <c r="U438" t="s">
        <v>291</v>
      </c>
      <c r="V438" t="s">
        <v>6493</v>
      </c>
      <c r="W438" t="s">
        <v>6494</v>
      </c>
      <c r="X438" t="s">
        <v>1778</v>
      </c>
      <c r="Y438" t="s">
        <v>6495</v>
      </c>
      <c r="Z438" t="s">
        <v>6496</v>
      </c>
      <c r="AA438" t="s">
        <v>74</v>
      </c>
      <c r="AB438" t="s">
        <v>74</v>
      </c>
      <c r="AC438" t="s">
        <v>74</v>
      </c>
      <c r="AD438" t="s">
        <v>74</v>
      </c>
      <c r="AE438" t="s">
        <v>74</v>
      </c>
      <c r="AF438" t="s">
        <v>74</v>
      </c>
      <c r="AG438">
        <v>15</v>
      </c>
      <c r="AH438">
        <v>60</v>
      </c>
      <c r="AI438">
        <v>69</v>
      </c>
      <c r="AJ438">
        <v>0</v>
      </c>
      <c r="AK438">
        <v>7</v>
      </c>
      <c r="AL438" t="s">
        <v>213</v>
      </c>
      <c r="AM438" t="s">
        <v>214</v>
      </c>
      <c r="AN438" t="s">
        <v>215</v>
      </c>
      <c r="AO438" t="s">
        <v>6083</v>
      </c>
      <c r="AP438" t="s">
        <v>6084</v>
      </c>
      <c r="AQ438" t="s">
        <v>74</v>
      </c>
      <c r="AR438" t="s">
        <v>6085</v>
      </c>
      <c r="AS438" t="s">
        <v>6086</v>
      </c>
      <c r="AT438" t="s">
        <v>74</v>
      </c>
      <c r="AU438">
        <v>2004</v>
      </c>
      <c r="AV438">
        <v>51</v>
      </c>
      <c r="AW438" t="s">
        <v>6487</v>
      </c>
      <c r="AX438" t="s">
        <v>74</v>
      </c>
      <c r="AY438" t="s">
        <v>74</v>
      </c>
      <c r="AZ438" t="s">
        <v>74</v>
      </c>
      <c r="BA438" t="s">
        <v>74</v>
      </c>
      <c r="BB438">
        <v>1947</v>
      </c>
      <c r="BC438">
        <v>1964</v>
      </c>
      <c r="BD438" t="s">
        <v>74</v>
      </c>
      <c r="BE438" t="s">
        <v>6497</v>
      </c>
      <c r="BF438" t="str">
        <f>HYPERLINK("http://dx.doi.org/10.1016/j.dsr2.2004.07.031","http://dx.doi.org/10.1016/j.dsr2.2004.07.031")</f>
        <v>http://dx.doi.org/10.1016/j.dsr2.2004.07.031</v>
      </c>
      <c r="BG438" t="s">
        <v>74</v>
      </c>
      <c r="BH438" t="s">
        <v>74</v>
      </c>
      <c r="BI438">
        <v>18</v>
      </c>
      <c r="BJ438" t="s">
        <v>477</v>
      </c>
      <c r="BK438" t="s">
        <v>96</v>
      </c>
      <c r="BL438" t="s">
        <v>477</v>
      </c>
      <c r="BM438" t="s">
        <v>6489</v>
      </c>
      <c r="BN438" t="s">
        <v>74</v>
      </c>
      <c r="BO438" t="s">
        <v>74</v>
      </c>
      <c r="BP438" t="s">
        <v>74</v>
      </c>
      <c r="BQ438" t="s">
        <v>74</v>
      </c>
      <c r="BR438" t="s">
        <v>99</v>
      </c>
      <c r="BS438" t="s">
        <v>6498</v>
      </c>
      <c r="BT438" t="str">
        <f>HYPERLINK("https%3A%2F%2Fwww.webofscience.com%2Fwos%2Fwoscc%2Ffull-record%2FWOS:000226045100003","View Full Record in Web of Science")</f>
        <v>View Full Record in Web of Science</v>
      </c>
    </row>
    <row r="439" spans="1:72" x14ac:dyDescent="0.15">
      <c r="A439" t="s">
        <v>72</v>
      </c>
      <c r="B439" t="s">
        <v>6499</v>
      </c>
      <c r="C439" t="s">
        <v>74</v>
      </c>
      <c r="D439" t="s">
        <v>74</v>
      </c>
      <c r="E439" t="s">
        <v>74</v>
      </c>
      <c r="F439" t="s">
        <v>6499</v>
      </c>
      <c r="G439" t="s">
        <v>74</v>
      </c>
      <c r="H439" t="s">
        <v>74</v>
      </c>
      <c r="I439" t="s">
        <v>6500</v>
      </c>
      <c r="J439" t="s">
        <v>6078</v>
      </c>
      <c r="K439" t="s">
        <v>74</v>
      </c>
      <c r="L439" t="s">
        <v>74</v>
      </c>
      <c r="M439" t="s">
        <v>77</v>
      </c>
      <c r="N439" t="s">
        <v>78</v>
      </c>
      <c r="O439" t="s">
        <v>74</v>
      </c>
      <c r="P439" t="s">
        <v>74</v>
      </c>
      <c r="Q439" t="s">
        <v>74</v>
      </c>
      <c r="R439" t="s">
        <v>74</v>
      </c>
      <c r="S439" t="s">
        <v>74</v>
      </c>
      <c r="T439" t="s">
        <v>74</v>
      </c>
      <c r="U439" t="s">
        <v>6501</v>
      </c>
      <c r="V439" t="s">
        <v>6502</v>
      </c>
      <c r="W439" t="s">
        <v>6503</v>
      </c>
      <c r="X439" t="s">
        <v>6504</v>
      </c>
      <c r="Y439" t="s">
        <v>6505</v>
      </c>
      <c r="Z439" t="s">
        <v>6506</v>
      </c>
      <c r="AA439" t="s">
        <v>2292</v>
      </c>
      <c r="AB439" t="s">
        <v>6507</v>
      </c>
      <c r="AC439" t="s">
        <v>74</v>
      </c>
      <c r="AD439" t="s">
        <v>74</v>
      </c>
      <c r="AE439" t="s">
        <v>74</v>
      </c>
      <c r="AF439" t="s">
        <v>74</v>
      </c>
      <c r="AG439">
        <v>44</v>
      </c>
      <c r="AH439">
        <v>49</v>
      </c>
      <c r="AI439">
        <v>56</v>
      </c>
      <c r="AJ439">
        <v>1</v>
      </c>
      <c r="AK439">
        <v>10</v>
      </c>
      <c r="AL439" t="s">
        <v>213</v>
      </c>
      <c r="AM439" t="s">
        <v>214</v>
      </c>
      <c r="AN439" t="s">
        <v>215</v>
      </c>
      <c r="AO439" t="s">
        <v>6083</v>
      </c>
      <c r="AP439" t="s">
        <v>74</v>
      </c>
      <c r="AQ439" t="s">
        <v>74</v>
      </c>
      <c r="AR439" t="s">
        <v>6085</v>
      </c>
      <c r="AS439" t="s">
        <v>6086</v>
      </c>
      <c r="AT439" t="s">
        <v>74</v>
      </c>
      <c r="AU439">
        <v>2004</v>
      </c>
      <c r="AV439">
        <v>51</v>
      </c>
      <c r="AW439" t="s">
        <v>6487</v>
      </c>
      <c r="AX439" t="s">
        <v>74</v>
      </c>
      <c r="AY439" t="s">
        <v>74</v>
      </c>
      <c r="AZ439" t="s">
        <v>74</v>
      </c>
      <c r="BA439" t="s">
        <v>74</v>
      </c>
      <c r="BB439">
        <v>1965</v>
      </c>
      <c r="BC439">
        <v>1979</v>
      </c>
      <c r="BD439" t="s">
        <v>74</v>
      </c>
      <c r="BE439" t="s">
        <v>6508</v>
      </c>
      <c r="BF439" t="str">
        <f>HYPERLINK("http://dx.doi.org/10.1016/j.dsr2.2004.08.002","http://dx.doi.org/10.1016/j.dsr2.2004.08.002")</f>
        <v>http://dx.doi.org/10.1016/j.dsr2.2004.08.002</v>
      </c>
      <c r="BG439" t="s">
        <v>74</v>
      </c>
      <c r="BH439" t="s">
        <v>74</v>
      </c>
      <c r="BI439">
        <v>15</v>
      </c>
      <c r="BJ439" t="s">
        <v>477</v>
      </c>
      <c r="BK439" t="s">
        <v>96</v>
      </c>
      <c r="BL439" t="s">
        <v>477</v>
      </c>
      <c r="BM439" t="s">
        <v>6489</v>
      </c>
      <c r="BN439" t="s">
        <v>74</v>
      </c>
      <c r="BO439" t="s">
        <v>74</v>
      </c>
      <c r="BP439" t="s">
        <v>74</v>
      </c>
      <c r="BQ439" t="s">
        <v>74</v>
      </c>
      <c r="BR439" t="s">
        <v>99</v>
      </c>
      <c r="BS439" t="s">
        <v>6509</v>
      </c>
      <c r="BT439" t="str">
        <f>HYPERLINK("https%3A%2F%2Fwww.webofscience.com%2Fwos%2Fwoscc%2Ffull-record%2FWOS:000226045100004","View Full Record in Web of Science")</f>
        <v>View Full Record in Web of Science</v>
      </c>
    </row>
    <row r="440" spans="1:72" x14ac:dyDescent="0.15">
      <c r="A440" t="s">
        <v>72</v>
      </c>
      <c r="B440" t="s">
        <v>6510</v>
      </c>
      <c r="C440" t="s">
        <v>74</v>
      </c>
      <c r="D440" t="s">
        <v>74</v>
      </c>
      <c r="E440" t="s">
        <v>74</v>
      </c>
      <c r="F440" t="s">
        <v>6510</v>
      </c>
      <c r="G440" t="s">
        <v>74</v>
      </c>
      <c r="H440" t="s">
        <v>74</v>
      </c>
      <c r="I440" t="s">
        <v>6511</v>
      </c>
      <c r="J440" t="s">
        <v>6078</v>
      </c>
      <c r="K440" t="s">
        <v>74</v>
      </c>
      <c r="L440" t="s">
        <v>74</v>
      </c>
      <c r="M440" t="s">
        <v>77</v>
      </c>
      <c r="N440" t="s">
        <v>78</v>
      </c>
      <c r="O440" t="s">
        <v>74</v>
      </c>
      <c r="P440" t="s">
        <v>74</v>
      </c>
      <c r="Q440" t="s">
        <v>74</v>
      </c>
      <c r="R440" t="s">
        <v>74</v>
      </c>
      <c r="S440" t="s">
        <v>74</v>
      </c>
      <c r="T440" t="s">
        <v>74</v>
      </c>
      <c r="U440" t="s">
        <v>6512</v>
      </c>
      <c r="V440" t="s">
        <v>6513</v>
      </c>
      <c r="W440" t="s">
        <v>6514</v>
      </c>
      <c r="X440" t="s">
        <v>6515</v>
      </c>
      <c r="Y440" t="s">
        <v>6516</v>
      </c>
      <c r="Z440" t="s">
        <v>6517</v>
      </c>
      <c r="AA440" t="s">
        <v>74</v>
      </c>
      <c r="AB440" t="s">
        <v>74</v>
      </c>
      <c r="AC440" t="s">
        <v>74</v>
      </c>
      <c r="AD440" t="s">
        <v>74</v>
      </c>
      <c r="AE440" t="s">
        <v>74</v>
      </c>
      <c r="AF440" t="s">
        <v>74</v>
      </c>
      <c r="AG440">
        <v>39</v>
      </c>
      <c r="AH440">
        <v>40</v>
      </c>
      <c r="AI440">
        <v>48</v>
      </c>
      <c r="AJ440">
        <v>0</v>
      </c>
      <c r="AK440">
        <v>15</v>
      </c>
      <c r="AL440" t="s">
        <v>213</v>
      </c>
      <c r="AM440" t="s">
        <v>214</v>
      </c>
      <c r="AN440" t="s">
        <v>215</v>
      </c>
      <c r="AO440" t="s">
        <v>6083</v>
      </c>
      <c r="AP440" t="s">
        <v>6084</v>
      </c>
      <c r="AQ440" t="s">
        <v>74</v>
      </c>
      <c r="AR440" t="s">
        <v>6085</v>
      </c>
      <c r="AS440" t="s">
        <v>6086</v>
      </c>
      <c r="AT440" t="s">
        <v>74</v>
      </c>
      <c r="AU440">
        <v>2004</v>
      </c>
      <c r="AV440">
        <v>51</v>
      </c>
      <c r="AW440" t="s">
        <v>6487</v>
      </c>
      <c r="AX440" t="s">
        <v>74</v>
      </c>
      <c r="AY440" t="s">
        <v>74</v>
      </c>
      <c r="AZ440" t="s">
        <v>74</v>
      </c>
      <c r="BA440" t="s">
        <v>74</v>
      </c>
      <c r="BB440">
        <v>1981</v>
      </c>
      <c r="BC440">
        <v>2002</v>
      </c>
      <c r="BD440" t="s">
        <v>74</v>
      </c>
      <c r="BE440" t="s">
        <v>6518</v>
      </c>
      <c r="BF440" t="str">
        <f>HYPERLINK("http://dx.doi.org/10.1016/j.dsr2.2004.07.023","http://dx.doi.org/10.1016/j.dsr2.2004.07.023")</f>
        <v>http://dx.doi.org/10.1016/j.dsr2.2004.07.023</v>
      </c>
      <c r="BG440" t="s">
        <v>74</v>
      </c>
      <c r="BH440" t="s">
        <v>74</v>
      </c>
      <c r="BI440">
        <v>22</v>
      </c>
      <c r="BJ440" t="s">
        <v>477</v>
      </c>
      <c r="BK440" t="s">
        <v>96</v>
      </c>
      <c r="BL440" t="s">
        <v>477</v>
      </c>
      <c r="BM440" t="s">
        <v>6489</v>
      </c>
      <c r="BN440" t="s">
        <v>74</v>
      </c>
      <c r="BO440" t="s">
        <v>74</v>
      </c>
      <c r="BP440" t="s">
        <v>74</v>
      </c>
      <c r="BQ440" t="s">
        <v>74</v>
      </c>
      <c r="BR440" t="s">
        <v>99</v>
      </c>
      <c r="BS440" t="s">
        <v>6519</v>
      </c>
      <c r="BT440" t="str">
        <f>HYPERLINK("https%3A%2F%2Fwww.webofscience.com%2Fwos%2Fwoscc%2Ffull-record%2FWOS:000226045100005","View Full Record in Web of Science")</f>
        <v>View Full Record in Web of Science</v>
      </c>
    </row>
    <row r="441" spans="1:72" x14ac:dyDescent="0.15">
      <c r="A441" t="s">
        <v>72</v>
      </c>
      <c r="B441" t="s">
        <v>6520</v>
      </c>
      <c r="C441" t="s">
        <v>74</v>
      </c>
      <c r="D441" t="s">
        <v>74</v>
      </c>
      <c r="E441" t="s">
        <v>74</v>
      </c>
      <c r="F441" t="s">
        <v>6520</v>
      </c>
      <c r="G441" t="s">
        <v>74</v>
      </c>
      <c r="H441" t="s">
        <v>74</v>
      </c>
      <c r="I441" t="s">
        <v>6521</v>
      </c>
      <c r="J441" t="s">
        <v>6078</v>
      </c>
      <c r="K441" t="s">
        <v>74</v>
      </c>
      <c r="L441" t="s">
        <v>74</v>
      </c>
      <c r="M441" t="s">
        <v>77</v>
      </c>
      <c r="N441" t="s">
        <v>78</v>
      </c>
      <c r="O441" t="s">
        <v>74</v>
      </c>
      <c r="P441" t="s">
        <v>74</v>
      </c>
      <c r="Q441" t="s">
        <v>74</v>
      </c>
      <c r="R441" t="s">
        <v>74</v>
      </c>
      <c r="S441" t="s">
        <v>74</v>
      </c>
      <c r="T441" t="s">
        <v>74</v>
      </c>
      <c r="U441" t="s">
        <v>6522</v>
      </c>
      <c r="V441" t="s">
        <v>6523</v>
      </c>
      <c r="W441" t="s">
        <v>6524</v>
      </c>
      <c r="X441" t="s">
        <v>6525</v>
      </c>
      <c r="Y441" t="s">
        <v>6526</v>
      </c>
      <c r="Z441" t="s">
        <v>6527</v>
      </c>
      <c r="AA441" t="s">
        <v>74</v>
      </c>
      <c r="AB441" t="s">
        <v>6528</v>
      </c>
      <c r="AC441" t="s">
        <v>74</v>
      </c>
      <c r="AD441" t="s">
        <v>74</v>
      </c>
      <c r="AE441" t="s">
        <v>74</v>
      </c>
      <c r="AF441" t="s">
        <v>74</v>
      </c>
      <c r="AG441">
        <v>43</v>
      </c>
      <c r="AH441">
        <v>111</v>
      </c>
      <c r="AI441">
        <v>128</v>
      </c>
      <c r="AJ441">
        <v>0</v>
      </c>
      <c r="AK441">
        <v>14</v>
      </c>
      <c r="AL441" t="s">
        <v>213</v>
      </c>
      <c r="AM441" t="s">
        <v>214</v>
      </c>
      <c r="AN441" t="s">
        <v>215</v>
      </c>
      <c r="AO441" t="s">
        <v>6083</v>
      </c>
      <c r="AP441" t="s">
        <v>6084</v>
      </c>
      <c r="AQ441" t="s">
        <v>74</v>
      </c>
      <c r="AR441" t="s">
        <v>6085</v>
      </c>
      <c r="AS441" t="s">
        <v>6086</v>
      </c>
      <c r="AT441" t="s">
        <v>74</v>
      </c>
      <c r="AU441">
        <v>2004</v>
      </c>
      <c r="AV441">
        <v>51</v>
      </c>
      <c r="AW441" t="s">
        <v>6487</v>
      </c>
      <c r="AX441" t="s">
        <v>74</v>
      </c>
      <c r="AY441" t="s">
        <v>74</v>
      </c>
      <c r="AZ441" t="s">
        <v>74</v>
      </c>
      <c r="BA441" t="s">
        <v>74</v>
      </c>
      <c r="BB441">
        <v>2003</v>
      </c>
      <c r="BC441">
        <v>2022</v>
      </c>
      <c r="BD441" t="s">
        <v>74</v>
      </c>
      <c r="BE441" t="s">
        <v>6529</v>
      </c>
      <c r="BF441" t="str">
        <f>HYPERLINK("http://dx.doi.org/10.1016/j.dsr2.2004.07.030","http://dx.doi.org/10.1016/j.dsr2.2004.07.030")</f>
        <v>http://dx.doi.org/10.1016/j.dsr2.2004.07.030</v>
      </c>
      <c r="BG441" t="s">
        <v>74</v>
      </c>
      <c r="BH441" t="s">
        <v>74</v>
      </c>
      <c r="BI441">
        <v>20</v>
      </c>
      <c r="BJ441" t="s">
        <v>477</v>
      </c>
      <c r="BK441" t="s">
        <v>96</v>
      </c>
      <c r="BL441" t="s">
        <v>477</v>
      </c>
      <c r="BM441" t="s">
        <v>6489</v>
      </c>
      <c r="BN441" t="s">
        <v>74</v>
      </c>
      <c r="BO441" t="s">
        <v>74</v>
      </c>
      <c r="BP441" t="s">
        <v>74</v>
      </c>
      <c r="BQ441" t="s">
        <v>74</v>
      </c>
      <c r="BR441" t="s">
        <v>99</v>
      </c>
      <c r="BS441" t="s">
        <v>6530</v>
      </c>
      <c r="BT441" t="str">
        <f>HYPERLINK("https%3A%2F%2Fwww.webofscience.com%2Fwos%2Fwoscc%2Ffull-record%2FWOS:000226045100006","View Full Record in Web of Science")</f>
        <v>View Full Record in Web of Science</v>
      </c>
    </row>
    <row r="442" spans="1:72" x14ac:dyDescent="0.15">
      <c r="A442" t="s">
        <v>72</v>
      </c>
      <c r="B442" t="s">
        <v>6531</v>
      </c>
      <c r="C442" t="s">
        <v>74</v>
      </c>
      <c r="D442" t="s">
        <v>74</v>
      </c>
      <c r="E442" t="s">
        <v>74</v>
      </c>
      <c r="F442" t="s">
        <v>6531</v>
      </c>
      <c r="G442" t="s">
        <v>74</v>
      </c>
      <c r="H442" t="s">
        <v>74</v>
      </c>
      <c r="I442" t="s">
        <v>6532</v>
      </c>
      <c r="J442" t="s">
        <v>6078</v>
      </c>
      <c r="K442" t="s">
        <v>74</v>
      </c>
      <c r="L442" t="s">
        <v>74</v>
      </c>
      <c r="M442" t="s">
        <v>77</v>
      </c>
      <c r="N442" t="s">
        <v>78</v>
      </c>
      <c r="O442" t="s">
        <v>74</v>
      </c>
      <c r="P442" t="s">
        <v>74</v>
      </c>
      <c r="Q442" t="s">
        <v>74</v>
      </c>
      <c r="R442" t="s">
        <v>74</v>
      </c>
      <c r="S442" t="s">
        <v>74</v>
      </c>
      <c r="T442" t="s">
        <v>74</v>
      </c>
      <c r="U442" t="s">
        <v>6533</v>
      </c>
      <c r="V442" t="s">
        <v>6534</v>
      </c>
      <c r="W442" t="s">
        <v>6535</v>
      </c>
      <c r="X442" t="s">
        <v>6536</v>
      </c>
      <c r="Y442" t="s">
        <v>6537</v>
      </c>
      <c r="Z442" t="s">
        <v>6538</v>
      </c>
      <c r="AA442" t="s">
        <v>74</v>
      </c>
      <c r="AB442" t="s">
        <v>6539</v>
      </c>
      <c r="AC442" t="s">
        <v>74</v>
      </c>
      <c r="AD442" t="s">
        <v>74</v>
      </c>
      <c r="AE442" t="s">
        <v>74</v>
      </c>
      <c r="AF442" t="s">
        <v>74</v>
      </c>
      <c r="AG442">
        <v>46</v>
      </c>
      <c r="AH442">
        <v>38</v>
      </c>
      <c r="AI442">
        <v>44</v>
      </c>
      <c r="AJ442">
        <v>0</v>
      </c>
      <c r="AK442">
        <v>7</v>
      </c>
      <c r="AL442" t="s">
        <v>213</v>
      </c>
      <c r="AM442" t="s">
        <v>214</v>
      </c>
      <c r="AN442" t="s">
        <v>215</v>
      </c>
      <c r="AO442" t="s">
        <v>6083</v>
      </c>
      <c r="AP442" t="s">
        <v>6084</v>
      </c>
      <c r="AQ442" t="s">
        <v>74</v>
      </c>
      <c r="AR442" t="s">
        <v>6085</v>
      </c>
      <c r="AS442" t="s">
        <v>6086</v>
      </c>
      <c r="AT442" t="s">
        <v>74</v>
      </c>
      <c r="AU442">
        <v>2004</v>
      </c>
      <c r="AV442">
        <v>51</v>
      </c>
      <c r="AW442" t="s">
        <v>6487</v>
      </c>
      <c r="AX442" t="s">
        <v>74</v>
      </c>
      <c r="AY442" t="s">
        <v>74</v>
      </c>
      <c r="AZ442" t="s">
        <v>74</v>
      </c>
      <c r="BA442" t="s">
        <v>74</v>
      </c>
      <c r="BB442">
        <v>2023</v>
      </c>
      <c r="BC442">
        <v>2039</v>
      </c>
      <c r="BD442" t="s">
        <v>74</v>
      </c>
      <c r="BE442" t="s">
        <v>6540</v>
      </c>
      <c r="BF442" t="str">
        <f>HYPERLINK("http://dx.doi.org/10.1016/j.dsr2.2004.07.024","http://dx.doi.org/10.1016/j.dsr2.2004.07.024")</f>
        <v>http://dx.doi.org/10.1016/j.dsr2.2004.07.024</v>
      </c>
      <c r="BG442" t="s">
        <v>74</v>
      </c>
      <c r="BH442" t="s">
        <v>74</v>
      </c>
      <c r="BI442">
        <v>17</v>
      </c>
      <c r="BJ442" t="s">
        <v>477</v>
      </c>
      <c r="BK442" t="s">
        <v>96</v>
      </c>
      <c r="BL442" t="s">
        <v>477</v>
      </c>
      <c r="BM442" t="s">
        <v>6489</v>
      </c>
      <c r="BN442" t="s">
        <v>74</v>
      </c>
      <c r="BO442" t="s">
        <v>74</v>
      </c>
      <c r="BP442" t="s">
        <v>74</v>
      </c>
      <c r="BQ442" t="s">
        <v>74</v>
      </c>
      <c r="BR442" t="s">
        <v>99</v>
      </c>
      <c r="BS442" t="s">
        <v>6541</v>
      </c>
      <c r="BT442" t="str">
        <f>HYPERLINK("https%3A%2F%2Fwww.webofscience.com%2Fwos%2Fwoscc%2Ffull-record%2FWOS:000226045100007","View Full Record in Web of Science")</f>
        <v>View Full Record in Web of Science</v>
      </c>
    </row>
    <row r="443" spans="1:72" x14ac:dyDescent="0.15">
      <c r="A443" t="s">
        <v>72</v>
      </c>
      <c r="B443" t="s">
        <v>6542</v>
      </c>
      <c r="C443" t="s">
        <v>74</v>
      </c>
      <c r="D443" t="s">
        <v>74</v>
      </c>
      <c r="E443" t="s">
        <v>74</v>
      </c>
      <c r="F443" t="s">
        <v>6542</v>
      </c>
      <c r="G443" t="s">
        <v>74</v>
      </c>
      <c r="H443" t="s">
        <v>74</v>
      </c>
      <c r="I443" t="s">
        <v>6543</v>
      </c>
      <c r="J443" t="s">
        <v>6078</v>
      </c>
      <c r="K443" t="s">
        <v>74</v>
      </c>
      <c r="L443" t="s">
        <v>74</v>
      </c>
      <c r="M443" t="s">
        <v>77</v>
      </c>
      <c r="N443" t="s">
        <v>78</v>
      </c>
      <c r="O443" t="s">
        <v>74</v>
      </c>
      <c r="P443" t="s">
        <v>74</v>
      </c>
      <c r="Q443" t="s">
        <v>74</v>
      </c>
      <c r="R443" t="s">
        <v>74</v>
      </c>
      <c r="S443" t="s">
        <v>74</v>
      </c>
      <c r="T443" t="s">
        <v>74</v>
      </c>
      <c r="U443" t="s">
        <v>6544</v>
      </c>
      <c r="V443" t="s">
        <v>6545</v>
      </c>
      <c r="W443" t="s">
        <v>6546</v>
      </c>
      <c r="X443" t="s">
        <v>6504</v>
      </c>
      <c r="Y443" t="s">
        <v>6547</v>
      </c>
      <c r="Z443" t="s">
        <v>6548</v>
      </c>
      <c r="AA443" t="s">
        <v>6549</v>
      </c>
      <c r="AB443" t="s">
        <v>1781</v>
      </c>
      <c r="AC443" t="s">
        <v>74</v>
      </c>
      <c r="AD443" t="s">
        <v>74</v>
      </c>
      <c r="AE443" t="s">
        <v>74</v>
      </c>
      <c r="AF443" t="s">
        <v>74</v>
      </c>
      <c r="AG443">
        <v>74</v>
      </c>
      <c r="AH443">
        <v>83</v>
      </c>
      <c r="AI443">
        <v>101</v>
      </c>
      <c r="AJ443">
        <v>0</v>
      </c>
      <c r="AK443">
        <v>23</v>
      </c>
      <c r="AL443" t="s">
        <v>213</v>
      </c>
      <c r="AM443" t="s">
        <v>214</v>
      </c>
      <c r="AN443" t="s">
        <v>215</v>
      </c>
      <c r="AO443" t="s">
        <v>6083</v>
      </c>
      <c r="AP443" t="s">
        <v>6084</v>
      </c>
      <c r="AQ443" t="s">
        <v>74</v>
      </c>
      <c r="AR443" t="s">
        <v>6085</v>
      </c>
      <c r="AS443" t="s">
        <v>6086</v>
      </c>
      <c r="AT443" t="s">
        <v>74</v>
      </c>
      <c r="AU443">
        <v>2004</v>
      </c>
      <c r="AV443">
        <v>51</v>
      </c>
      <c r="AW443" t="s">
        <v>6487</v>
      </c>
      <c r="AX443" t="s">
        <v>74</v>
      </c>
      <c r="AY443" t="s">
        <v>74</v>
      </c>
      <c r="AZ443" t="s">
        <v>74</v>
      </c>
      <c r="BA443" t="s">
        <v>74</v>
      </c>
      <c r="BB443">
        <v>2041</v>
      </c>
      <c r="BC443">
        <v>2072</v>
      </c>
      <c r="BD443" t="s">
        <v>74</v>
      </c>
      <c r="BE443" t="s">
        <v>6550</v>
      </c>
      <c r="BF443" t="str">
        <f>HYPERLINK("http://dx.doi.org/10.1016/j.dsr2.2004.07.022","http://dx.doi.org/10.1016/j.dsr2.2004.07.022")</f>
        <v>http://dx.doi.org/10.1016/j.dsr2.2004.07.022</v>
      </c>
      <c r="BG443" t="s">
        <v>74</v>
      </c>
      <c r="BH443" t="s">
        <v>74</v>
      </c>
      <c r="BI443">
        <v>32</v>
      </c>
      <c r="BJ443" t="s">
        <v>477</v>
      </c>
      <c r="BK443" t="s">
        <v>96</v>
      </c>
      <c r="BL443" t="s">
        <v>477</v>
      </c>
      <c r="BM443" t="s">
        <v>6489</v>
      </c>
      <c r="BN443" t="s">
        <v>74</v>
      </c>
      <c r="BO443" t="s">
        <v>74</v>
      </c>
      <c r="BP443" t="s">
        <v>74</v>
      </c>
      <c r="BQ443" t="s">
        <v>74</v>
      </c>
      <c r="BR443" t="s">
        <v>99</v>
      </c>
      <c r="BS443" t="s">
        <v>6551</v>
      </c>
      <c r="BT443" t="str">
        <f>HYPERLINK("https%3A%2F%2Fwww.webofscience.com%2Fwos%2Fwoscc%2Ffull-record%2FWOS:000226045100008","View Full Record in Web of Science")</f>
        <v>View Full Record in Web of Science</v>
      </c>
    </row>
    <row r="444" spans="1:72" x14ac:dyDescent="0.15">
      <c r="A444" t="s">
        <v>72</v>
      </c>
      <c r="B444" t="s">
        <v>6552</v>
      </c>
      <c r="C444" t="s">
        <v>74</v>
      </c>
      <c r="D444" t="s">
        <v>74</v>
      </c>
      <c r="E444" t="s">
        <v>74</v>
      </c>
      <c r="F444" t="s">
        <v>6552</v>
      </c>
      <c r="G444" t="s">
        <v>74</v>
      </c>
      <c r="H444" t="s">
        <v>74</v>
      </c>
      <c r="I444" t="s">
        <v>6553</v>
      </c>
      <c r="J444" t="s">
        <v>6078</v>
      </c>
      <c r="K444" t="s">
        <v>74</v>
      </c>
      <c r="L444" t="s">
        <v>74</v>
      </c>
      <c r="M444" t="s">
        <v>77</v>
      </c>
      <c r="N444" t="s">
        <v>78</v>
      </c>
      <c r="O444" t="s">
        <v>74</v>
      </c>
      <c r="P444" t="s">
        <v>74</v>
      </c>
      <c r="Q444" t="s">
        <v>74</v>
      </c>
      <c r="R444" t="s">
        <v>74</v>
      </c>
      <c r="S444" t="s">
        <v>74</v>
      </c>
      <c r="T444" t="s">
        <v>74</v>
      </c>
      <c r="U444" t="s">
        <v>6554</v>
      </c>
      <c r="V444" t="s">
        <v>6555</v>
      </c>
      <c r="W444" t="s">
        <v>6556</v>
      </c>
      <c r="X444" t="s">
        <v>1778</v>
      </c>
      <c r="Y444" t="s">
        <v>6557</v>
      </c>
      <c r="Z444" t="s">
        <v>6558</v>
      </c>
      <c r="AA444" t="s">
        <v>74</v>
      </c>
      <c r="AB444" t="s">
        <v>6559</v>
      </c>
      <c r="AC444" t="s">
        <v>74</v>
      </c>
      <c r="AD444" t="s">
        <v>74</v>
      </c>
      <c r="AE444" t="s">
        <v>74</v>
      </c>
      <c r="AF444" t="s">
        <v>74</v>
      </c>
      <c r="AG444">
        <v>92</v>
      </c>
      <c r="AH444">
        <v>60</v>
      </c>
      <c r="AI444">
        <v>75</v>
      </c>
      <c r="AJ444">
        <v>2</v>
      </c>
      <c r="AK444">
        <v>18</v>
      </c>
      <c r="AL444" t="s">
        <v>213</v>
      </c>
      <c r="AM444" t="s">
        <v>214</v>
      </c>
      <c r="AN444" t="s">
        <v>215</v>
      </c>
      <c r="AO444" t="s">
        <v>6083</v>
      </c>
      <c r="AP444" t="s">
        <v>6084</v>
      </c>
      <c r="AQ444" t="s">
        <v>74</v>
      </c>
      <c r="AR444" t="s">
        <v>6085</v>
      </c>
      <c r="AS444" t="s">
        <v>6086</v>
      </c>
      <c r="AT444" t="s">
        <v>74</v>
      </c>
      <c r="AU444">
        <v>2004</v>
      </c>
      <c r="AV444">
        <v>51</v>
      </c>
      <c r="AW444" t="s">
        <v>6487</v>
      </c>
      <c r="AX444" t="s">
        <v>74</v>
      </c>
      <c r="AY444" t="s">
        <v>74</v>
      </c>
      <c r="AZ444" t="s">
        <v>74</v>
      </c>
      <c r="BA444" t="s">
        <v>74</v>
      </c>
      <c r="BB444">
        <v>2073</v>
      </c>
      <c r="BC444">
        <v>2098</v>
      </c>
      <c r="BD444" t="s">
        <v>74</v>
      </c>
      <c r="BE444" t="s">
        <v>6560</v>
      </c>
      <c r="BF444" t="str">
        <f>HYPERLINK("http://dx.doi.org/10.1016/j.dsr2.2004.07.025","http://dx.doi.org/10.1016/j.dsr2.2004.07.025")</f>
        <v>http://dx.doi.org/10.1016/j.dsr2.2004.07.025</v>
      </c>
      <c r="BG444" t="s">
        <v>74</v>
      </c>
      <c r="BH444" t="s">
        <v>74</v>
      </c>
      <c r="BI444">
        <v>26</v>
      </c>
      <c r="BJ444" t="s">
        <v>477</v>
      </c>
      <c r="BK444" t="s">
        <v>96</v>
      </c>
      <c r="BL444" t="s">
        <v>477</v>
      </c>
      <c r="BM444" t="s">
        <v>6489</v>
      </c>
      <c r="BN444" t="s">
        <v>74</v>
      </c>
      <c r="BO444" t="s">
        <v>74</v>
      </c>
      <c r="BP444" t="s">
        <v>74</v>
      </c>
      <c r="BQ444" t="s">
        <v>74</v>
      </c>
      <c r="BR444" t="s">
        <v>99</v>
      </c>
      <c r="BS444" t="s">
        <v>6561</v>
      </c>
      <c r="BT444" t="str">
        <f>HYPERLINK("https%3A%2F%2Fwww.webofscience.com%2Fwos%2Fwoscc%2Ffull-record%2FWOS:000226045100009","View Full Record in Web of Science")</f>
        <v>View Full Record in Web of Science</v>
      </c>
    </row>
    <row r="445" spans="1:72" x14ac:dyDescent="0.15">
      <c r="A445" t="s">
        <v>72</v>
      </c>
      <c r="B445" t="s">
        <v>6562</v>
      </c>
      <c r="C445" t="s">
        <v>74</v>
      </c>
      <c r="D445" t="s">
        <v>74</v>
      </c>
      <c r="E445" t="s">
        <v>74</v>
      </c>
      <c r="F445" t="s">
        <v>6562</v>
      </c>
      <c r="G445" t="s">
        <v>74</v>
      </c>
      <c r="H445" t="s">
        <v>74</v>
      </c>
      <c r="I445" t="s">
        <v>6563</v>
      </c>
      <c r="J445" t="s">
        <v>6078</v>
      </c>
      <c r="K445" t="s">
        <v>74</v>
      </c>
      <c r="L445" t="s">
        <v>74</v>
      </c>
      <c r="M445" t="s">
        <v>77</v>
      </c>
      <c r="N445" t="s">
        <v>78</v>
      </c>
      <c r="O445" t="s">
        <v>74</v>
      </c>
      <c r="P445" t="s">
        <v>74</v>
      </c>
      <c r="Q445" t="s">
        <v>74</v>
      </c>
      <c r="R445" t="s">
        <v>74</v>
      </c>
      <c r="S445" t="s">
        <v>74</v>
      </c>
      <c r="T445" t="s">
        <v>74</v>
      </c>
      <c r="U445" t="s">
        <v>6564</v>
      </c>
      <c r="V445" t="s">
        <v>6565</v>
      </c>
      <c r="W445" t="s">
        <v>6566</v>
      </c>
      <c r="X445" t="s">
        <v>6567</v>
      </c>
      <c r="Y445" t="s">
        <v>6568</v>
      </c>
      <c r="Z445" t="s">
        <v>6569</v>
      </c>
      <c r="AA445" t="s">
        <v>74</v>
      </c>
      <c r="AB445" t="s">
        <v>74</v>
      </c>
      <c r="AC445" t="s">
        <v>74</v>
      </c>
      <c r="AD445" t="s">
        <v>74</v>
      </c>
      <c r="AE445" t="s">
        <v>74</v>
      </c>
      <c r="AF445" t="s">
        <v>74</v>
      </c>
      <c r="AG445">
        <v>62</v>
      </c>
      <c r="AH445">
        <v>30</v>
      </c>
      <c r="AI445">
        <v>34</v>
      </c>
      <c r="AJ445">
        <v>0</v>
      </c>
      <c r="AK445">
        <v>21</v>
      </c>
      <c r="AL445" t="s">
        <v>213</v>
      </c>
      <c r="AM445" t="s">
        <v>214</v>
      </c>
      <c r="AN445" t="s">
        <v>215</v>
      </c>
      <c r="AO445" t="s">
        <v>6083</v>
      </c>
      <c r="AP445" t="s">
        <v>6084</v>
      </c>
      <c r="AQ445" t="s">
        <v>74</v>
      </c>
      <c r="AR445" t="s">
        <v>6085</v>
      </c>
      <c r="AS445" t="s">
        <v>6086</v>
      </c>
      <c r="AT445" t="s">
        <v>74</v>
      </c>
      <c r="AU445">
        <v>2004</v>
      </c>
      <c r="AV445">
        <v>51</v>
      </c>
      <c r="AW445" t="s">
        <v>6487</v>
      </c>
      <c r="AX445" t="s">
        <v>74</v>
      </c>
      <c r="AY445" t="s">
        <v>74</v>
      </c>
      <c r="AZ445" t="s">
        <v>74</v>
      </c>
      <c r="BA445" t="s">
        <v>74</v>
      </c>
      <c r="BB445">
        <v>2099</v>
      </c>
      <c r="BC445">
        <v>2118</v>
      </c>
      <c r="BD445" t="s">
        <v>74</v>
      </c>
      <c r="BE445" t="s">
        <v>6570</v>
      </c>
      <c r="BF445" t="str">
        <f>HYPERLINK("http://dx.doi.org/10.1016/j.dsr2.2004.07.008","http://dx.doi.org/10.1016/j.dsr2.2004.07.008")</f>
        <v>http://dx.doi.org/10.1016/j.dsr2.2004.07.008</v>
      </c>
      <c r="BG445" t="s">
        <v>74</v>
      </c>
      <c r="BH445" t="s">
        <v>74</v>
      </c>
      <c r="BI445">
        <v>20</v>
      </c>
      <c r="BJ445" t="s">
        <v>477</v>
      </c>
      <c r="BK445" t="s">
        <v>96</v>
      </c>
      <c r="BL445" t="s">
        <v>477</v>
      </c>
      <c r="BM445" t="s">
        <v>6489</v>
      </c>
      <c r="BN445" t="s">
        <v>74</v>
      </c>
      <c r="BO445" t="s">
        <v>74</v>
      </c>
      <c r="BP445" t="s">
        <v>74</v>
      </c>
      <c r="BQ445" t="s">
        <v>74</v>
      </c>
      <c r="BR445" t="s">
        <v>99</v>
      </c>
      <c r="BS445" t="s">
        <v>6571</v>
      </c>
      <c r="BT445" t="str">
        <f>HYPERLINK("https%3A%2F%2Fwww.webofscience.com%2Fwos%2Fwoscc%2Ffull-record%2FWOS:000226045100010","View Full Record in Web of Science")</f>
        <v>View Full Record in Web of Science</v>
      </c>
    </row>
    <row r="446" spans="1:72" x14ac:dyDescent="0.15">
      <c r="A446" t="s">
        <v>72</v>
      </c>
      <c r="B446" t="s">
        <v>6572</v>
      </c>
      <c r="C446" t="s">
        <v>74</v>
      </c>
      <c r="D446" t="s">
        <v>74</v>
      </c>
      <c r="E446" t="s">
        <v>74</v>
      </c>
      <c r="F446" t="s">
        <v>6572</v>
      </c>
      <c r="G446" t="s">
        <v>74</v>
      </c>
      <c r="H446" t="s">
        <v>74</v>
      </c>
      <c r="I446" t="s">
        <v>6573</v>
      </c>
      <c r="J446" t="s">
        <v>6078</v>
      </c>
      <c r="K446" t="s">
        <v>74</v>
      </c>
      <c r="L446" t="s">
        <v>74</v>
      </c>
      <c r="M446" t="s">
        <v>77</v>
      </c>
      <c r="N446" t="s">
        <v>78</v>
      </c>
      <c r="O446" t="s">
        <v>74</v>
      </c>
      <c r="P446" t="s">
        <v>74</v>
      </c>
      <c r="Q446" t="s">
        <v>74</v>
      </c>
      <c r="R446" t="s">
        <v>74</v>
      </c>
      <c r="S446" t="s">
        <v>74</v>
      </c>
      <c r="T446" t="s">
        <v>74</v>
      </c>
      <c r="U446" t="s">
        <v>6574</v>
      </c>
      <c r="V446" t="s">
        <v>6575</v>
      </c>
      <c r="W446" t="s">
        <v>6566</v>
      </c>
      <c r="X446" t="s">
        <v>6567</v>
      </c>
      <c r="Y446" t="s">
        <v>6568</v>
      </c>
      <c r="Z446" t="s">
        <v>6569</v>
      </c>
      <c r="AA446" t="s">
        <v>74</v>
      </c>
      <c r="AB446" t="s">
        <v>74</v>
      </c>
      <c r="AC446" t="s">
        <v>74</v>
      </c>
      <c r="AD446" t="s">
        <v>74</v>
      </c>
      <c r="AE446" t="s">
        <v>74</v>
      </c>
      <c r="AF446" t="s">
        <v>74</v>
      </c>
      <c r="AG446">
        <v>69</v>
      </c>
      <c r="AH446">
        <v>86</v>
      </c>
      <c r="AI446">
        <v>119</v>
      </c>
      <c r="AJ446">
        <v>0</v>
      </c>
      <c r="AK446">
        <v>26</v>
      </c>
      <c r="AL446" t="s">
        <v>213</v>
      </c>
      <c r="AM446" t="s">
        <v>214</v>
      </c>
      <c r="AN446" t="s">
        <v>215</v>
      </c>
      <c r="AO446" t="s">
        <v>6083</v>
      </c>
      <c r="AP446" t="s">
        <v>6084</v>
      </c>
      <c r="AQ446" t="s">
        <v>74</v>
      </c>
      <c r="AR446" t="s">
        <v>6085</v>
      </c>
      <c r="AS446" t="s">
        <v>6086</v>
      </c>
      <c r="AT446" t="s">
        <v>74</v>
      </c>
      <c r="AU446">
        <v>2004</v>
      </c>
      <c r="AV446">
        <v>51</v>
      </c>
      <c r="AW446" t="s">
        <v>6487</v>
      </c>
      <c r="AX446" t="s">
        <v>74</v>
      </c>
      <c r="AY446" t="s">
        <v>74</v>
      </c>
      <c r="AZ446" t="s">
        <v>74</v>
      </c>
      <c r="BA446" t="s">
        <v>74</v>
      </c>
      <c r="BB446">
        <v>2119</v>
      </c>
      <c r="BC446">
        <v>2137</v>
      </c>
      <c r="BD446" t="s">
        <v>74</v>
      </c>
      <c r="BE446" t="s">
        <v>6576</v>
      </c>
      <c r="BF446" t="str">
        <f>HYPERLINK("http://dx.doi.org/10.1016/j.dsr2.2004.07.009","http://dx.doi.org/10.1016/j.dsr2.2004.07.009")</f>
        <v>http://dx.doi.org/10.1016/j.dsr2.2004.07.009</v>
      </c>
      <c r="BG446" t="s">
        <v>74</v>
      </c>
      <c r="BH446" t="s">
        <v>74</v>
      </c>
      <c r="BI446">
        <v>19</v>
      </c>
      <c r="BJ446" t="s">
        <v>477</v>
      </c>
      <c r="BK446" t="s">
        <v>96</v>
      </c>
      <c r="BL446" t="s">
        <v>477</v>
      </c>
      <c r="BM446" t="s">
        <v>6489</v>
      </c>
      <c r="BN446" t="s">
        <v>74</v>
      </c>
      <c r="BO446" t="s">
        <v>74</v>
      </c>
      <c r="BP446" t="s">
        <v>74</v>
      </c>
      <c r="BQ446" t="s">
        <v>74</v>
      </c>
      <c r="BR446" t="s">
        <v>99</v>
      </c>
      <c r="BS446" t="s">
        <v>6577</v>
      </c>
      <c r="BT446" t="str">
        <f>HYPERLINK("https%3A%2F%2Fwww.webofscience.com%2Fwos%2Fwoscc%2Ffull-record%2FWOS:000226045100011","View Full Record in Web of Science")</f>
        <v>View Full Record in Web of Science</v>
      </c>
    </row>
    <row r="447" spans="1:72" x14ac:dyDescent="0.15">
      <c r="A447" t="s">
        <v>72</v>
      </c>
      <c r="B447" t="s">
        <v>6578</v>
      </c>
      <c r="C447" t="s">
        <v>74</v>
      </c>
      <c r="D447" t="s">
        <v>74</v>
      </c>
      <c r="E447" t="s">
        <v>74</v>
      </c>
      <c r="F447" t="s">
        <v>6578</v>
      </c>
      <c r="G447" t="s">
        <v>74</v>
      </c>
      <c r="H447" t="s">
        <v>74</v>
      </c>
      <c r="I447" t="s">
        <v>6579</v>
      </c>
      <c r="J447" t="s">
        <v>6078</v>
      </c>
      <c r="K447" t="s">
        <v>74</v>
      </c>
      <c r="L447" t="s">
        <v>74</v>
      </c>
      <c r="M447" t="s">
        <v>77</v>
      </c>
      <c r="N447" t="s">
        <v>78</v>
      </c>
      <c r="O447" t="s">
        <v>74</v>
      </c>
      <c r="P447" t="s">
        <v>74</v>
      </c>
      <c r="Q447" t="s">
        <v>74</v>
      </c>
      <c r="R447" t="s">
        <v>74</v>
      </c>
      <c r="S447" t="s">
        <v>74</v>
      </c>
      <c r="T447" t="s">
        <v>74</v>
      </c>
      <c r="U447" t="s">
        <v>6580</v>
      </c>
      <c r="V447" t="s">
        <v>6581</v>
      </c>
      <c r="W447" t="s">
        <v>6514</v>
      </c>
      <c r="X447" t="s">
        <v>6515</v>
      </c>
      <c r="Y447" t="s">
        <v>6582</v>
      </c>
      <c r="Z447" t="s">
        <v>6583</v>
      </c>
      <c r="AA447" t="s">
        <v>74</v>
      </c>
      <c r="AB447" t="s">
        <v>74</v>
      </c>
      <c r="AC447" t="s">
        <v>74</v>
      </c>
      <c r="AD447" t="s">
        <v>74</v>
      </c>
      <c r="AE447" t="s">
        <v>74</v>
      </c>
      <c r="AF447" t="s">
        <v>74</v>
      </c>
      <c r="AG447">
        <v>62</v>
      </c>
      <c r="AH447">
        <v>91</v>
      </c>
      <c r="AI447">
        <v>110</v>
      </c>
      <c r="AJ447">
        <v>1</v>
      </c>
      <c r="AK447">
        <v>41</v>
      </c>
      <c r="AL447" t="s">
        <v>213</v>
      </c>
      <c r="AM447" t="s">
        <v>214</v>
      </c>
      <c r="AN447" t="s">
        <v>215</v>
      </c>
      <c r="AO447" t="s">
        <v>6083</v>
      </c>
      <c r="AP447" t="s">
        <v>6084</v>
      </c>
      <c r="AQ447" t="s">
        <v>74</v>
      </c>
      <c r="AR447" t="s">
        <v>6085</v>
      </c>
      <c r="AS447" t="s">
        <v>6086</v>
      </c>
      <c r="AT447" t="s">
        <v>74</v>
      </c>
      <c r="AU447">
        <v>2004</v>
      </c>
      <c r="AV447">
        <v>51</v>
      </c>
      <c r="AW447" t="s">
        <v>6487</v>
      </c>
      <c r="AX447" t="s">
        <v>74</v>
      </c>
      <c r="AY447" t="s">
        <v>74</v>
      </c>
      <c r="AZ447" t="s">
        <v>74</v>
      </c>
      <c r="BA447" t="s">
        <v>74</v>
      </c>
      <c r="BB447">
        <v>2139</v>
      </c>
      <c r="BC447">
        <v>2168</v>
      </c>
      <c r="BD447" t="s">
        <v>74</v>
      </c>
      <c r="BE447" t="s">
        <v>6584</v>
      </c>
      <c r="BF447" t="str">
        <f>HYPERLINK("http://dx.doi.org/10.1016/j.dsr2.2004.07.010","http://dx.doi.org/10.1016/j.dsr2.2004.07.010")</f>
        <v>http://dx.doi.org/10.1016/j.dsr2.2004.07.010</v>
      </c>
      <c r="BG447" t="s">
        <v>74</v>
      </c>
      <c r="BH447" t="s">
        <v>74</v>
      </c>
      <c r="BI447">
        <v>30</v>
      </c>
      <c r="BJ447" t="s">
        <v>477</v>
      </c>
      <c r="BK447" t="s">
        <v>96</v>
      </c>
      <c r="BL447" t="s">
        <v>477</v>
      </c>
      <c r="BM447" t="s">
        <v>6489</v>
      </c>
      <c r="BN447" t="s">
        <v>74</v>
      </c>
      <c r="BO447" t="s">
        <v>74</v>
      </c>
      <c r="BP447" t="s">
        <v>74</v>
      </c>
      <c r="BQ447" t="s">
        <v>74</v>
      </c>
      <c r="BR447" t="s">
        <v>99</v>
      </c>
      <c r="BS447" t="s">
        <v>6585</v>
      </c>
      <c r="BT447" t="str">
        <f>HYPERLINK("https%3A%2F%2Fwww.webofscience.com%2Fwos%2Fwoscc%2Ffull-record%2FWOS:000226045100012","View Full Record in Web of Science")</f>
        <v>View Full Record in Web of Science</v>
      </c>
    </row>
    <row r="448" spans="1:72" x14ac:dyDescent="0.15">
      <c r="A448" t="s">
        <v>72</v>
      </c>
      <c r="B448" t="s">
        <v>6586</v>
      </c>
      <c r="C448" t="s">
        <v>74</v>
      </c>
      <c r="D448" t="s">
        <v>74</v>
      </c>
      <c r="E448" t="s">
        <v>74</v>
      </c>
      <c r="F448" t="s">
        <v>6586</v>
      </c>
      <c r="G448" t="s">
        <v>74</v>
      </c>
      <c r="H448" t="s">
        <v>74</v>
      </c>
      <c r="I448" t="s">
        <v>6587</v>
      </c>
      <c r="J448" t="s">
        <v>6078</v>
      </c>
      <c r="K448" t="s">
        <v>74</v>
      </c>
      <c r="L448" t="s">
        <v>74</v>
      </c>
      <c r="M448" t="s">
        <v>77</v>
      </c>
      <c r="N448" t="s">
        <v>78</v>
      </c>
      <c r="O448" t="s">
        <v>74</v>
      </c>
      <c r="P448" t="s">
        <v>74</v>
      </c>
      <c r="Q448" t="s">
        <v>74</v>
      </c>
      <c r="R448" t="s">
        <v>74</v>
      </c>
      <c r="S448" t="s">
        <v>74</v>
      </c>
      <c r="T448" t="s">
        <v>74</v>
      </c>
      <c r="U448" t="s">
        <v>6588</v>
      </c>
      <c r="V448" t="s">
        <v>6589</v>
      </c>
      <c r="W448" t="s">
        <v>6590</v>
      </c>
      <c r="X448" t="s">
        <v>6591</v>
      </c>
      <c r="Y448" t="s">
        <v>6592</v>
      </c>
      <c r="Z448" t="s">
        <v>74</v>
      </c>
      <c r="AA448" t="s">
        <v>6593</v>
      </c>
      <c r="AB448" t="s">
        <v>74</v>
      </c>
      <c r="AC448" t="s">
        <v>74</v>
      </c>
      <c r="AD448" t="s">
        <v>74</v>
      </c>
      <c r="AE448" t="s">
        <v>74</v>
      </c>
      <c r="AF448" t="s">
        <v>74</v>
      </c>
      <c r="AG448">
        <v>50</v>
      </c>
      <c r="AH448">
        <v>26</v>
      </c>
      <c r="AI448">
        <v>33</v>
      </c>
      <c r="AJ448">
        <v>0</v>
      </c>
      <c r="AK448">
        <v>15</v>
      </c>
      <c r="AL448" t="s">
        <v>213</v>
      </c>
      <c r="AM448" t="s">
        <v>214</v>
      </c>
      <c r="AN448" t="s">
        <v>215</v>
      </c>
      <c r="AO448" t="s">
        <v>6083</v>
      </c>
      <c r="AP448" t="s">
        <v>6084</v>
      </c>
      <c r="AQ448" t="s">
        <v>74</v>
      </c>
      <c r="AR448" t="s">
        <v>6085</v>
      </c>
      <c r="AS448" t="s">
        <v>6086</v>
      </c>
      <c r="AT448" t="s">
        <v>74</v>
      </c>
      <c r="AU448">
        <v>2004</v>
      </c>
      <c r="AV448">
        <v>51</v>
      </c>
      <c r="AW448" t="s">
        <v>6487</v>
      </c>
      <c r="AX448" t="s">
        <v>74</v>
      </c>
      <c r="AY448" t="s">
        <v>74</v>
      </c>
      <c r="AZ448" t="s">
        <v>74</v>
      </c>
      <c r="BA448" t="s">
        <v>74</v>
      </c>
      <c r="BB448">
        <v>2169</v>
      </c>
      <c r="BC448">
        <v>2184</v>
      </c>
      <c r="BD448" t="s">
        <v>74</v>
      </c>
      <c r="BE448" t="s">
        <v>6594</v>
      </c>
      <c r="BF448" t="str">
        <f>HYPERLINK("http://dx.doi.org/10.1016/j.dsr2.2004.07.001","http://dx.doi.org/10.1016/j.dsr2.2004.07.001")</f>
        <v>http://dx.doi.org/10.1016/j.dsr2.2004.07.001</v>
      </c>
      <c r="BG448" t="s">
        <v>74</v>
      </c>
      <c r="BH448" t="s">
        <v>74</v>
      </c>
      <c r="BI448">
        <v>16</v>
      </c>
      <c r="BJ448" t="s">
        <v>477</v>
      </c>
      <c r="BK448" t="s">
        <v>96</v>
      </c>
      <c r="BL448" t="s">
        <v>477</v>
      </c>
      <c r="BM448" t="s">
        <v>6489</v>
      </c>
      <c r="BN448" t="s">
        <v>74</v>
      </c>
      <c r="BO448" t="s">
        <v>74</v>
      </c>
      <c r="BP448" t="s">
        <v>74</v>
      </c>
      <c r="BQ448" t="s">
        <v>74</v>
      </c>
      <c r="BR448" t="s">
        <v>99</v>
      </c>
      <c r="BS448" t="s">
        <v>6595</v>
      </c>
      <c r="BT448" t="str">
        <f>HYPERLINK("https%3A%2F%2Fwww.webofscience.com%2Fwos%2Fwoscc%2Ffull-record%2FWOS:000226045100013","View Full Record in Web of Science")</f>
        <v>View Full Record in Web of Science</v>
      </c>
    </row>
    <row r="449" spans="1:72" x14ac:dyDescent="0.15">
      <c r="A449" t="s">
        <v>72</v>
      </c>
      <c r="B449" t="s">
        <v>6596</v>
      </c>
      <c r="C449" t="s">
        <v>74</v>
      </c>
      <c r="D449" t="s">
        <v>74</v>
      </c>
      <c r="E449" t="s">
        <v>74</v>
      </c>
      <c r="F449" t="s">
        <v>6596</v>
      </c>
      <c r="G449" t="s">
        <v>74</v>
      </c>
      <c r="H449" t="s">
        <v>74</v>
      </c>
      <c r="I449" t="s">
        <v>6597</v>
      </c>
      <c r="J449" t="s">
        <v>6078</v>
      </c>
      <c r="K449" t="s">
        <v>74</v>
      </c>
      <c r="L449" t="s">
        <v>74</v>
      </c>
      <c r="M449" t="s">
        <v>77</v>
      </c>
      <c r="N449" t="s">
        <v>78</v>
      </c>
      <c r="O449" t="s">
        <v>74</v>
      </c>
      <c r="P449" t="s">
        <v>74</v>
      </c>
      <c r="Q449" t="s">
        <v>74</v>
      </c>
      <c r="R449" t="s">
        <v>74</v>
      </c>
      <c r="S449" t="s">
        <v>74</v>
      </c>
      <c r="T449" t="s">
        <v>74</v>
      </c>
      <c r="U449" t="s">
        <v>6598</v>
      </c>
      <c r="V449" t="s">
        <v>6599</v>
      </c>
      <c r="W449" t="s">
        <v>6600</v>
      </c>
      <c r="X449" t="s">
        <v>6601</v>
      </c>
      <c r="Y449" t="s">
        <v>3270</v>
      </c>
      <c r="Z449" t="s">
        <v>3271</v>
      </c>
      <c r="AA449" t="s">
        <v>6602</v>
      </c>
      <c r="AB449" t="s">
        <v>6603</v>
      </c>
      <c r="AC449" t="s">
        <v>74</v>
      </c>
      <c r="AD449" t="s">
        <v>74</v>
      </c>
      <c r="AE449" t="s">
        <v>74</v>
      </c>
      <c r="AF449" t="s">
        <v>74</v>
      </c>
      <c r="AG449">
        <v>39</v>
      </c>
      <c r="AH449">
        <v>38</v>
      </c>
      <c r="AI449">
        <v>47</v>
      </c>
      <c r="AJ449">
        <v>0</v>
      </c>
      <c r="AK449">
        <v>11</v>
      </c>
      <c r="AL449" t="s">
        <v>213</v>
      </c>
      <c r="AM449" t="s">
        <v>214</v>
      </c>
      <c r="AN449" t="s">
        <v>215</v>
      </c>
      <c r="AO449" t="s">
        <v>6083</v>
      </c>
      <c r="AP449" t="s">
        <v>74</v>
      </c>
      <c r="AQ449" t="s">
        <v>74</v>
      </c>
      <c r="AR449" t="s">
        <v>6085</v>
      </c>
      <c r="AS449" t="s">
        <v>6086</v>
      </c>
      <c r="AT449" t="s">
        <v>74</v>
      </c>
      <c r="AU449">
        <v>2004</v>
      </c>
      <c r="AV449">
        <v>51</v>
      </c>
      <c r="AW449" t="s">
        <v>6487</v>
      </c>
      <c r="AX449" t="s">
        <v>74</v>
      </c>
      <c r="AY449" t="s">
        <v>74</v>
      </c>
      <c r="AZ449" t="s">
        <v>74</v>
      </c>
      <c r="BA449" t="s">
        <v>74</v>
      </c>
      <c r="BB449">
        <v>2185</v>
      </c>
      <c r="BC449">
        <v>2198</v>
      </c>
      <c r="BD449" t="s">
        <v>74</v>
      </c>
      <c r="BE449" t="s">
        <v>6604</v>
      </c>
      <c r="BF449" t="str">
        <f>HYPERLINK("http://dx.doi.org/10.1016/j.dsr2.2004.08.003","http://dx.doi.org/10.1016/j.dsr2.2004.08.003")</f>
        <v>http://dx.doi.org/10.1016/j.dsr2.2004.08.003</v>
      </c>
      <c r="BG449" t="s">
        <v>74</v>
      </c>
      <c r="BH449" t="s">
        <v>74</v>
      </c>
      <c r="BI449">
        <v>14</v>
      </c>
      <c r="BJ449" t="s">
        <v>477</v>
      </c>
      <c r="BK449" t="s">
        <v>96</v>
      </c>
      <c r="BL449" t="s">
        <v>477</v>
      </c>
      <c r="BM449" t="s">
        <v>6489</v>
      </c>
      <c r="BN449" t="s">
        <v>74</v>
      </c>
      <c r="BO449" t="s">
        <v>479</v>
      </c>
      <c r="BP449" t="s">
        <v>74</v>
      </c>
      <c r="BQ449" t="s">
        <v>74</v>
      </c>
      <c r="BR449" t="s">
        <v>99</v>
      </c>
      <c r="BS449" t="s">
        <v>6605</v>
      </c>
      <c r="BT449" t="str">
        <f>HYPERLINK("https%3A%2F%2Fwww.webofscience.com%2Fwos%2Fwoscc%2Ffull-record%2FWOS:000226045100014","View Full Record in Web of Science")</f>
        <v>View Full Record in Web of Science</v>
      </c>
    </row>
    <row r="450" spans="1:72" x14ac:dyDescent="0.15">
      <c r="A450" t="s">
        <v>72</v>
      </c>
      <c r="B450" t="s">
        <v>6606</v>
      </c>
      <c r="C450" t="s">
        <v>74</v>
      </c>
      <c r="D450" t="s">
        <v>74</v>
      </c>
      <c r="E450" t="s">
        <v>74</v>
      </c>
      <c r="F450" t="s">
        <v>6606</v>
      </c>
      <c r="G450" t="s">
        <v>74</v>
      </c>
      <c r="H450" t="s">
        <v>74</v>
      </c>
      <c r="I450" t="s">
        <v>6607</v>
      </c>
      <c r="J450" t="s">
        <v>6078</v>
      </c>
      <c r="K450" t="s">
        <v>74</v>
      </c>
      <c r="L450" t="s">
        <v>74</v>
      </c>
      <c r="M450" t="s">
        <v>77</v>
      </c>
      <c r="N450" t="s">
        <v>78</v>
      </c>
      <c r="O450" t="s">
        <v>74</v>
      </c>
      <c r="P450" t="s">
        <v>74</v>
      </c>
      <c r="Q450" t="s">
        <v>74</v>
      </c>
      <c r="R450" t="s">
        <v>74</v>
      </c>
      <c r="S450" t="s">
        <v>74</v>
      </c>
      <c r="T450" t="s">
        <v>74</v>
      </c>
      <c r="U450" t="s">
        <v>6608</v>
      </c>
      <c r="V450" t="s">
        <v>6609</v>
      </c>
      <c r="W450" t="s">
        <v>6610</v>
      </c>
      <c r="X450" t="s">
        <v>6611</v>
      </c>
      <c r="Y450" t="s">
        <v>6612</v>
      </c>
      <c r="Z450" t="s">
        <v>6613</v>
      </c>
      <c r="AA450" t="s">
        <v>6614</v>
      </c>
      <c r="AB450" t="s">
        <v>74</v>
      </c>
      <c r="AC450" t="s">
        <v>74</v>
      </c>
      <c r="AD450" t="s">
        <v>74</v>
      </c>
      <c r="AE450" t="s">
        <v>74</v>
      </c>
      <c r="AF450" t="s">
        <v>74</v>
      </c>
      <c r="AG450">
        <v>56</v>
      </c>
      <c r="AH450">
        <v>74</v>
      </c>
      <c r="AI450">
        <v>89</v>
      </c>
      <c r="AJ450">
        <v>0</v>
      </c>
      <c r="AK450">
        <v>24</v>
      </c>
      <c r="AL450" t="s">
        <v>213</v>
      </c>
      <c r="AM450" t="s">
        <v>214</v>
      </c>
      <c r="AN450" t="s">
        <v>215</v>
      </c>
      <c r="AO450" t="s">
        <v>6083</v>
      </c>
      <c r="AP450" t="s">
        <v>6084</v>
      </c>
      <c r="AQ450" t="s">
        <v>74</v>
      </c>
      <c r="AR450" t="s">
        <v>6085</v>
      </c>
      <c r="AS450" t="s">
        <v>6086</v>
      </c>
      <c r="AT450" t="s">
        <v>74</v>
      </c>
      <c r="AU450">
        <v>2004</v>
      </c>
      <c r="AV450">
        <v>51</v>
      </c>
      <c r="AW450" t="s">
        <v>6487</v>
      </c>
      <c r="AX450" t="s">
        <v>74</v>
      </c>
      <c r="AY450" t="s">
        <v>74</v>
      </c>
      <c r="AZ450" t="s">
        <v>74</v>
      </c>
      <c r="BA450" t="s">
        <v>74</v>
      </c>
      <c r="BB450">
        <v>2199</v>
      </c>
      <c r="BC450">
        <v>2214</v>
      </c>
      <c r="BD450" t="s">
        <v>74</v>
      </c>
      <c r="BE450" t="s">
        <v>6615</v>
      </c>
      <c r="BF450" t="str">
        <f>HYPERLINK("http://dx.doi.org/10.1016/j.dsr2.2004.08.004","http://dx.doi.org/10.1016/j.dsr2.2004.08.004")</f>
        <v>http://dx.doi.org/10.1016/j.dsr2.2004.08.004</v>
      </c>
      <c r="BG450" t="s">
        <v>74</v>
      </c>
      <c r="BH450" t="s">
        <v>74</v>
      </c>
      <c r="BI450">
        <v>16</v>
      </c>
      <c r="BJ450" t="s">
        <v>477</v>
      </c>
      <c r="BK450" t="s">
        <v>96</v>
      </c>
      <c r="BL450" t="s">
        <v>477</v>
      </c>
      <c r="BM450" t="s">
        <v>6489</v>
      </c>
      <c r="BN450" t="s">
        <v>74</v>
      </c>
      <c r="BO450" t="s">
        <v>74</v>
      </c>
      <c r="BP450" t="s">
        <v>74</v>
      </c>
      <c r="BQ450" t="s">
        <v>74</v>
      </c>
      <c r="BR450" t="s">
        <v>99</v>
      </c>
      <c r="BS450" t="s">
        <v>6616</v>
      </c>
      <c r="BT450" t="str">
        <f>HYPERLINK("https%3A%2F%2Fwww.webofscience.com%2Fwos%2Fwoscc%2Ffull-record%2FWOS:000226045100015","View Full Record in Web of Science")</f>
        <v>View Full Record in Web of Science</v>
      </c>
    </row>
    <row r="451" spans="1:72" x14ac:dyDescent="0.15">
      <c r="A451" t="s">
        <v>72</v>
      </c>
      <c r="B451" t="s">
        <v>6617</v>
      </c>
      <c r="C451" t="s">
        <v>74</v>
      </c>
      <c r="D451" t="s">
        <v>74</v>
      </c>
      <c r="E451" t="s">
        <v>74</v>
      </c>
      <c r="F451" t="s">
        <v>6617</v>
      </c>
      <c r="G451" t="s">
        <v>74</v>
      </c>
      <c r="H451" t="s">
        <v>74</v>
      </c>
      <c r="I451" t="s">
        <v>6618</v>
      </c>
      <c r="J451" t="s">
        <v>6078</v>
      </c>
      <c r="K451" t="s">
        <v>74</v>
      </c>
      <c r="L451" t="s">
        <v>74</v>
      </c>
      <c r="M451" t="s">
        <v>77</v>
      </c>
      <c r="N451" t="s">
        <v>78</v>
      </c>
      <c r="O451" t="s">
        <v>74</v>
      </c>
      <c r="P451" t="s">
        <v>74</v>
      </c>
      <c r="Q451" t="s">
        <v>74</v>
      </c>
      <c r="R451" t="s">
        <v>74</v>
      </c>
      <c r="S451" t="s">
        <v>74</v>
      </c>
      <c r="T451" t="s">
        <v>74</v>
      </c>
      <c r="U451" t="s">
        <v>6619</v>
      </c>
      <c r="V451" t="s">
        <v>6620</v>
      </c>
      <c r="W451" t="s">
        <v>6621</v>
      </c>
      <c r="X451" t="s">
        <v>6622</v>
      </c>
      <c r="Y451" t="s">
        <v>4244</v>
      </c>
      <c r="Z451" t="s">
        <v>6623</v>
      </c>
      <c r="AA451" t="s">
        <v>74</v>
      </c>
      <c r="AB451" t="s">
        <v>6624</v>
      </c>
      <c r="AC451" t="s">
        <v>74</v>
      </c>
      <c r="AD451" t="s">
        <v>74</v>
      </c>
      <c r="AE451" t="s">
        <v>74</v>
      </c>
      <c r="AF451" t="s">
        <v>74</v>
      </c>
      <c r="AG451">
        <v>39</v>
      </c>
      <c r="AH451">
        <v>30</v>
      </c>
      <c r="AI451">
        <v>31</v>
      </c>
      <c r="AJ451">
        <v>0</v>
      </c>
      <c r="AK451">
        <v>10</v>
      </c>
      <c r="AL451" t="s">
        <v>213</v>
      </c>
      <c r="AM451" t="s">
        <v>214</v>
      </c>
      <c r="AN451" t="s">
        <v>215</v>
      </c>
      <c r="AO451" t="s">
        <v>6083</v>
      </c>
      <c r="AP451" t="s">
        <v>6084</v>
      </c>
      <c r="AQ451" t="s">
        <v>74</v>
      </c>
      <c r="AR451" t="s">
        <v>6085</v>
      </c>
      <c r="AS451" t="s">
        <v>6086</v>
      </c>
      <c r="AT451" t="s">
        <v>74</v>
      </c>
      <c r="AU451">
        <v>2004</v>
      </c>
      <c r="AV451">
        <v>51</v>
      </c>
      <c r="AW451" t="s">
        <v>6487</v>
      </c>
      <c r="AX451" t="s">
        <v>74</v>
      </c>
      <c r="AY451" t="s">
        <v>74</v>
      </c>
      <c r="AZ451" t="s">
        <v>74</v>
      </c>
      <c r="BA451" t="s">
        <v>74</v>
      </c>
      <c r="BB451">
        <v>2215</v>
      </c>
      <c r="BC451">
        <v>2224</v>
      </c>
      <c r="BD451" t="s">
        <v>74</v>
      </c>
      <c r="BE451" t="s">
        <v>6625</v>
      </c>
      <c r="BF451" t="str">
        <f>HYPERLINK("http://dx.doi.org/10.1016/j.dsr2.2004.07.002","http://dx.doi.org/10.1016/j.dsr2.2004.07.002")</f>
        <v>http://dx.doi.org/10.1016/j.dsr2.2004.07.002</v>
      </c>
      <c r="BG451" t="s">
        <v>74</v>
      </c>
      <c r="BH451" t="s">
        <v>74</v>
      </c>
      <c r="BI451">
        <v>10</v>
      </c>
      <c r="BJ451" t="s">
        <v>477</v>
      </c>
      <c r="BK451" t="s">
        <v>96</v>
      </c>
      <c r="BL451" t="s">
        <v>477</v>
      </c>
      <c r="BM451" t="s">
        <v>6489</v>
      </c>
      <c r="BN451" t="s">
        <v>74</v>
      </c>
      <c r="BO451" t="s">
        <v>74</v>
      </c>
      <c r="BP451" t="s">
        <v>74</v>
      </c>
      <c r="BQ451" t="s">
        <v>74</v>
      </c>
      <c r="BR451" t="s">
        <v>99</v>
      </c>
      <c r="BS451" t="s">
        <v>6626</v>
      </c>
      <c r="BT451" t="str">
        <f>HYPERLINK("https%3A%2F%2Fwww.webofscience.com%2Fwos%2Fwoscc%2Ffull-record%2FWOS:000226045100016","View Full Record in Web of Science")</f>
        <v>View Full Record in Web of Science</v>
      </c>
    </row>
    <row r="452" spans="1:72" x14ac:dyDescent="0.15">
      <c r="A452" t="s">
        <v>72</v>
      </c>
      <c r="B452" t="s">
        <v>6627</v>
      </c>
      <c r="C452" t="s">
        <v>74</v>
      </c>
      <c r="D452" t="s">
        <v>74</v>
      </c>
      <c r="E452" t="s">
        <v>74</v>
      </c>
      <c r="F452" t="s">
        <v>6627</v>
      </c>
      <c r="G452" t="s">
        <v>74</v>
      </c>
      <c r="H452" t="s">
        <v>74</v>
      </c>
      <c r="I452" t="s">
        <v>6628</v>
      </c>
      <c r="J452" t="s">
        <v>6078</v>
      </c>
      <c r="K452" t="s">
        <v>74</v>
      </c>
      <c r="L452" t="s">
        <v>74</v>
      </c>
      <c r="M452" t="s">
        <v>77</v>
      </c>
      <c r="N452" t="s">
        <v>78</v>
      </c>
      <c r="O452" t="s">
        <v>74</v>
      </c>
      <c r="P452" t="s">
        <v>74</v>
      </c>
      <c r="Q452" t="s">
        <v>74</v>
      </c>
      <c r="R452" t="s">
        <v>74</v>
      </c>
      <c r="S452" t="s">
        <v>74</v>
      </c>
      <c r="T452" t="s">
        <v>74</v>
      </c>
      <c r="U452" t="s">
        <v>6629</v>
      </c>
      <c r="V452" t="s">
        <v>6630</v>
      </c>
      <c r="W452" t="s">
        <v>6631</v>
      </c>
      <c r="X452" t="s">
        <v>6632</v>
      </c>
      <c r="Y452" t="s">
        <v>6633</v>
      </c>
      <c r="Z452" t="s">
        <v>74</v>
      </c>
      <c r="AA452" t="s">
        <v>74</v>
      </c>
      <c r="AB452" t="s">
        <v>74</v>
      </c>
      <c r="AC452" t="s">
        <v>74</v>
      </c>
      <c r="AD452" t="s">
        <v>74</v>
      </c>
      <c r="AE452" t="s">
        <v>74</v>
      </c>
      <c r="AF452" t="s">
        <v>74</v>
      </c>
      <c r="AG452">
        <v>56</v>
      </c>
      <c r="AH452">
        <v>19</v>
      </c>
      <c r="AI452">
        <v>22</v>
      </c>
      <c r="AJ452">
        <v>1</v>
      </c>
      <c r="AK452">
        <v>21</v>
      </c>
      <c r="AL452" t="s">
        <v>213</v>
      </c>
      <c r="AM452" t="s">
        <v>214</v>
      </c>
      <c r="AN452" t="s">
        <v>215</v>
      </c>
      <c r="AO452" t="s">
        <v>6083</v>
      </c>
      <c r="AP452" t="s">
        <v>74</v>
      </c>
      <c r="AQ452" t="s">
        <v>74</v>
      </c>
      <c r="AR452" t="s">
        <v>6085</v>
      </c>
      <c r="AS452" t="s">
        <v>6086</v>
      </c>
      <c r="AT452" t="s">
        <v>74</v>
      </c>
      <c r="AU452">
        <v>2004</v>
      </c>
      <c r="AV452">
        <v>51</v>
      </c>
      <c r="AW452" t="s">
        <v>6487</v>
      </c>
      <c r="AX452" t="s">
        <v>74</v>
      </c>
      <c r="AY452" t="s">
        <v>74</v>
      </c>
      <c r="AZ452" t="s">
        <v>74</v>
      </c>
      <c r="BA452" t="s">
        <v>74</v>
      </c>
      <c r="BB452">
        <v>2225</v>
      </c>
      <c r="BC452">
        <v>2245</v>
      </c>
      <c r="BD452" t="s">
        <v>74</v>
      </c>
      <c r="BE452" t="s">
        <v>6634</v>
      </c>
      <c r="BF452" t="str">
        <f>HYPERLINK("http://dx.doi.org/10.1016/j.dsr2.2004.07.003","http://dx.doi.org/10.1016/j.dsr2.2004.07.003")</f>
        <v>http://dx.doi.org/10.1016/j.dsr2.2004.07.003</v>
      </c>
      <c r="BG452" t="s">
        <v>74</v>
      </c>
      <c r="BH452" t="s">
        <v>74</v>
      </c>
      <c r="BI452">
        <v>21</v>
      </c>
      <c r="BJ452" t="s">
        <v>477</v>
      </c>
      <c r="BK452" t="s">
        <v>96</v>
      </c>
      <c r="BL452" t="s">
        <v>477</v>
      </c>
      <c r="BM452" t="s">
        <v>6489</v>
      </c>
      <c r="BN452" t="s">
        <v>74</v>
      </c>
      <c r="BO452" t="s">
        <v>74</v>
      </c>
      <c r="BP452" t="s">
        <v>74</v>
      </c>
      <c r="BQ452" t="s">
        <v>74</v>
      </c>
      <c r="BR452" t="s">
        <v>99</v>
      </c>
      <c r="BS452" t="s">
        <v>6635</v>
      </c>
      <c r="BT452" t="str">
        <f>HYPERLINK("https%3A%2F%2Fwww.webofscience.com%2Fwos%2Fwoscc%2Ffull-record%2FWOS:000226045100017","View Full Record in Web of Science")</f>
        <v>View Full Record in Web of Science</v>
      </c>
    </row>
    <row r="453" spans="1:72" x14ac:dyDescent="0.15">
      <c r="A453" t="s">
        <v>72</v>
      </c>
      <c r="B453" t="s">
        <v>6636</v>
      </c>
      <c r="C453" t="s">
        <v>74</v>
      </c>
      <c r="D453" t="s">
        <v>74</v>
      </c>
      <c r="E453" t="s">
        <v>74</v>
      </c>
      <c r="F453" t="s">
        <v>6636</v>
      </c>
      <c r="G453" t="s">
        <v>74</v>
      </c>
      <c r="H453" t="s">
        <v>74</v>
      </c>
      <c r="I453" t="s">
        <v>6637</v>
      </c>
      <c r="J453" t="s">
        <v>6078</v>
      </c>
      <c r="K453" t="s">
        <v>74</v>
      </c>
      <c r="L453" t="s">
        <v>74</v>
      </c>
      <c r="M453" t="s">
        <v>77</v>
      </c>
      <c r="N453" t="s">
        <v>78</v>
      </c>
      <c r="O453" t="s">
        <v>74</v>
      </c>
      <c r="P453" t="s">
        <v>74</v>
      </c>
      <c r="Q453" t="s">
        <v>74</v>
      </c>
      <c r="R453" t="s">
        <v>74</v>
      </c>
      <c r="S453" t="s">
        <v>74</v>
      </c>
      <c r="T453" t="s">
        <v>74</v>
      </c>
      <c r="U453" t="s">
        <v>6638</v>
      </c>
      <c r="V453" t="s">
        <v>6639</v>
      </c>
      <c r="W453" t="s">
        <v>6640</v>
      </c>
      <c r="X453" t="s">
        <v>6641</v>
      </c>
      <c r="Y453" t="s">
        <v>6642</v>
      </c>
      <c r="Z453" t="s">
        <v>74</v>
      </c>
      <c r="AA453" t="s">
        <v>74</v>
      </c>
      <c r="AB453" t="s">
        <v>74</v>
      </c>
      <c r="AC453" t="s">
        <v>74</v>
      </c>
      <c r="AD453" t="s">
        <v>74</v>
      </c>
      <c r="AE453" t="s">
        <v>74</v>
      </c>
      <c r="AF453" t="s">
        <v>74</v>
      </c>
      <c r="AG453">
        <v>53</v>
      </c>
      <c r="AH453">
        <v>49</v>
      </c>
      <c r="AI453">
        <v>54</v>
      </c>
      <c r="AJ453">
        <v>0</v>
      </c>
      <c r="AK453">
        <v>13</v>
      </c>
      <c r="AL453" t="s">
        <v>213</v>
      </c>
      <c r="AM453" t="s">
        <v>214</v>
      </c>
      <c r="AN453" t="s">
        <v>215</v>
      </c>
      <c r="AO453" t="s">
        <v>6083</v>
      </c>
      <c r="AP453" t="s">
        <v>74</v>
      </c>
      <c r="AQ453" t="s">
        <v>74</v>
      </c>
      <c r="AR453" t="s">
        <v>6085</v>
      </c>
      <c r="AS453" t="s">
        <v>6086</v>
      </c>
      <c r="AT453" t="s">
        <v>74</v>
      </c>
      <c r="AU453">
        <v>2004</v>
      </c>
      <c r="AV453">
        <v>51</v>
      </c>
      <c r="AW453" t="s">
        <v>6487</v>
      </c>
      <c r="AX453" t="s">
        <v>74</v>
      </c>
      <c r="AY453" t="s">
        <v>74</v>
      </c>
      <c r="AZ453" t="s">
        <v>74</v>
      </c>
      <c r="BA453" t="s">
        <v>74</v>
      </c>
      <c r="BB453">
        <v>2247</v>
      </c>
      <c r="BC453">
        <v>2260</v>
      </c>
      <c r="BD453" t="s">
        <v>74</v>
      </c>
      <c r="BE453" t="s">
        <v>6643</v>
      </c>
      <c r="BF453" t="str">
        <f>HYPERLINK("http://dx.doi.org/10.1016/j.dsr2.2004.07.004","http://dx.doi.org/10.1016/j.dsr2.2004.07.004")</f>
        <v>http://dx.doi.org/10.1016/j.dsr2.2004.07.004</v>
      </c>
      <c r="BG453" t="s">
        <v>74</v>
      </c>
      <c r="BH453" t="s">
        <v>74</v>
      </c>
      <c r="BI453">
        <v>14</v>
      </c>
      <c r="BJ453" t="s">
        <v>477</v>
      </c>
      <c r="BK453" t="s">
        <v>96</v>
      </c>
      <c r="BL453" t="s">
        <v>477</v>
      </c>
      <c r="BM453" t="s">
        <v>6489</v>
      </c>
      <c r="BN453" t="s">
        <v>74</v>
      </c>
      <c r="BO453" t="s">
        <v>74</v>
      </c>
      <c r="BP453" t="s">
        <v>74</v>
      </c>
      <c r="BQ453" t="s">
        <v>74</v>
      </c>
      <c r="BR453" t="s">
        <v>99</v>
      </c>
      <c r="BS453" t="s">
        <v>6644</v>
      </c>
      <c r="BT453" t="str">
        <f>HYPERLINK("https%3A%2F%2Fwww.webofscience.com%2Fwos%2Fwoscc%2Ffull-record%2FWOS:000226045100018","View Full Record in Web of Science")</f>
        <v>View Full Record in Web of Science</v>
      </c>
    </row>
    <row r="454" spans="1:72" x14ac:dyDescent="0.15">
      <c r="A454" t="s">
        <v>72</v>
      </c>
      <c r="B454" t="s">
        <v>6645</v>
      </c>
      <c r="C454" t="s">
        <v>74</v>
      </c>
      <c r="D454" t="s">
        <v>74</v>
      </c>
      <c r="E454" t="s">
        <v>74</v>
      </c>
      <c r="F454" t="s">
        <v>6645</v>
      </c>
      <c r="G454" t="s">
        <v>74</v>
      </c>
      <c r="H454" t="s">
        <v>74</v>
      </c>
      <c r="I454" t="s">
        <v>6646</v>
      </c>
      <c r="J454" t="s">
        <v>6078</v>
      </c>
      <c r="K454" t="s">
        <v>74</v>
      </c>
      <c r="L454" t="s">
        <v>74</v>
      </c>
      <c r="M454" t="s">
        <v>77</v>
      </c>
      <c r="N454" t="s">
        <v>78</v>
      </c>
      <c r="O454" t="s">
        <v>74</v>
      </c>
      <c r="P454" t="s">
        <v>74</v>
      </c>
      <c r="Q454" t="s">
        <v>74</v>
      </c>
      <c r="R454" t="s">
        <v>74</v>
      </c>
      <c r="S454" t="s">
        <v>74</v>
      </c>
      <c r="T454" t="s">
        <v>74</v>
      </c>
      <c r="U454" t="s">
        <v>6647</v>
      </c>
      <c r="V454" t="s">
        <v>6648</v>
      </c>
      <c r="W454" t="s">
        <v>6649</v>
      </c>
      <c r="X454" t="s">
        <v>6650</v>
      </c>
      <c r="Y454" t="s">
        <v>6651</v>
      </c>
      <c r="Z454" t="s">
        <v>6652</v>
      </c>
      <c r="AA454" t="s">
        <v>74</v>
      </c>
      <c r="AB454" t="s">
        <v>74</v>
      </c>
      <c r="AC454" t="s">
        <v>74</v>
      </c>
      <c r="AD454" t="s">
        <v>74</v>
      </c>
      <c r="AE454" t="s">
        <v>74</v>
      </c>
      <c r="AF454" t="s">
        <v>74</v>
      </c>
      <c r="AG454">
        <v>48</v>
      </c>
      <c r="AH454">
        <v>41</v>
      </c>
      <c r="AI454">
        <v>47</v>
      </c>
      <c r="AJ454">
        <v>0</v>
      </c>
      <c r="AK454">
        <v>23</v>
      </c>
      <c r="AL454" t="s">
        <v>213</v>
      </c>
      <c r="AM454" t="s">
        <v>214</v>
      </c>
      <c r="AN454" t="s">
        <v>215</v>
      </c>
      <c r="AO454" t="s">
        <v>6083</v>
      </c>
      <c r="AP454" t="s">
        <v>6084</v>
      </c>
      <c r="AQ454" t="s">
        <v>74</v>
      </c>
      <c r="AR454" t="s">
        <v>6085</v>
      </c>
      <c r="AS454" t="s">
        <v>6086</v>
      </c>
      <c r="AT454" t="s">
        <v>74</v>
      </c>
      <c r="AU454">
        <v>2004</v>
      </c>
      <c r="AV454">
        <v>51</v>
      </c>
      <c r="AW454" t="s">
        <v>6487</v>
      </c>
      <c r="AX454" t="s">
        <v>74</v>
      </c>
      <c r="AY454" t="s">
        <v>74</v>
      </c>
      <c r="AZ454" t="s">
        <v>74</v>
      </c>
      <c r="BA454" t="s">
        <v>74</v>
      </c>
      <c r="BB454">
        <v>2261</v>
      </c>
      <c r="BC454">
        <v>2278</v>
      </c>
      <c r="BD454" t="s">
        <v>74</v>
      </c>
      <c r="BE454" t="s">
        <v>6653</v>
      </c>
      <c r="BF454" t="str">
        <f>HYPERLINK("http://dx.doi.org/10.1016/j.dsr2.2004.07.005","http://dx.doi.org/10.1016/j.dsr2.2004.07.005")</f>
        <v>http://dx.doi.org/10.1016/j.dsr2.2004.07.005</v>
      </c>
      <c r="BG454" t="s">
        <v>74</v>
      </c>
      <c r="BH454" t="s">
        <v>74</v>
      </c>
      <c r="BI454">
        <v>18</v>
      </c>
      <c r="BJ454" t="s">
        <v>477</v>
      </c>
      <c r="BK454" t="s">
        <v>96</v>
      </c>
      <c r="BL454" t="s">
        <v>477</v>
      </c>
      <c r="BM454" t="s">
        <v>6489</v>
      </c>
      <c r="BN454" t="s">
        <v>74</v>
      </c>
      <c r="BO454" t="s">
        <v>74</v>
      </c>
      <c r="BP454" t="s">
        <v>74</v>
      </c>
      <c r="BQ454" t="s">
        <v>74</v>
      </c>
      <c r="BR454" t="s">
        <v>99</v>
      </c>
      <c r="BS454" t="s">
        <v>6654</v>
      </c>
      <c r="BT454" t="str">
        <f>HYPERLINK("https%3A%2F%2Fwww.webofscience.com%2Fwos%2Fwoscc%2Ffull-record%2FWOS:000226045100019","View Full Record in Web of Science")</f>
        <v>View Full Record in Web of Science</v>
      </c>
    </row>
    <row r="455" spans="1:72" x14ac:dyDescent="0.15">
      <c r="A455" t="s">
        <v>72</v>
      </c>
      <c r="B455" t="s">
        <v>6655</v>
      </c>
      <c r="C455" t="s">
        <v>74</v>
      </c>
      <c r="D455" t="s">
        <v>74</v>
      </c>
      <c r="E455" t="s">
        <v>74</v>
      </c>
      <c r="F455" t="s">
        <v>6655</v>
      </c>
      <c r="G455" t="s">
        <v>74</v>
      </c>
      <c r="H455" t="s">
        <v>74</v>
      </c>
      <c r="I455" t="s">
        <v>6656</v>
      </c>
      <c r="J455" t="s">
        <v>6078</v>
      </c>
      <c r="K455" t="s">
        <v>74</v>
      </c>
      <c r="L455" t="s">
        <v>74</v>
      </c>
      <c r="M455" t="s">
        <v>77</v>
      </c>
      <c r="N455" t="s">
        <v>78</v>
      </c>
      <c r="O455" t="s">
        <v>74</v>
      </c>
      <c r="P455" t="s">
        <v>74</v>
      </c>
      <c r="Q455" t="s">
        <v>74</v>
      </c>
      <c r="R455" t="s">
        <v>74</v>
      </c>
      <c r="S455" t="s">
        <v>74</v>
      </c>
      <c r="T455" t="s">
        <v>74</v>
      </c>
      <c r="U455" t="s">
        <v>6657</v>
      </c>
      <c r="V455" t="s">
        <v>6658</v>
      </c>
      <c r="W455" t="s">
        <v>6659</v>
      </c>
      <c r="X455" t="s">
        <v>6660</v>
      </c>
      <c r="Y455" t="s">
        <v>6661</v>
      </c>
      <c r="Z455" t="s">
        <v>6662</v>
      </c>
      <c r="AA455" t="s">
        <v>6663</v>
      </c>
      <c r="AB455" t="s">
        <v>6664</v>
      </c>
      <c r="AC455" t="s">
        <v>74</v>
      </c>
      <c r="AD455" t="s">
        <v>74</v>
      </c>
      <c r="AE455" t="s">
        <v>74</v>
      </c>
      <c r="AF455" t="s">
        <v>74</v>
      </c>
      <c r="AG455">
        <v>79</v>
      </c>
      <c r="AH455">
        <v>78</v>
      </c>
      <c r="AI455">
        <v>97</v>
      </c>
      <c r="AJ455">
        <v>1</v>
      </c>
      <c r="AK455">
        <v>33</v>
      </c>
      <c r="AL455" t="s">
        <v>213</v>
      </c>
      <c r="AM455" t="s">
        <v>214</v>
      </c>
      <c r="AN455" t="s">
        <v>215</v>
      </c>
      <c r="AO455" t="s">
        <v>6083</v>
      </c>
      <c r="AP455" t="s">
        <v>74</v>
      </c>
      <c r="AQ455" t="s">
        <v>74</v>
      </c>
      <c r="AR455" t="s">
        <v>6085</v>
      </c>
      <c r="AS455" t="s">
        <v>6086</v>
      </c>
      <c r="AT455" t="s">
        <v>74</v>
      </c>
      <c r="AU455">
        <v>2004</v>
      </c>
      <c r="AV455">
        <v>51</v>
      </c>
      <c r="AW455" t="s">
        <v>6487</v>
      </c>
      <c r="AX455" t="s">
        <v>74</v>
      </c>
      <c r="AY455" t="s">
        <v>74</v>
      </c>
      <c r="AZ455" t="s">
        <v>74</v>
      </c>
      <c r="BA455" t="s">
        <v>74</v>
      </c>
      <c r="BB455">
        <v>2279</v>
      </c>
      <c r="BC455">
        <v>2303</v>
      </c>
      <c r="BD455" t="s">
        <v>74</v>
      </c>
      <c r="BE455" t="s">
        <v>6665</v>
      </c>
      <c r="BF455" t="str">
        <f>HYPERLINK("http://dx.doi.org/10.1016/j.dsr2.2004.07.021","http://dx.doi.org/10.1016/j.dsr2.2004.07.021")</f>
        <v>http://dx.doi.org/10.1016/j.dsr2.2004.07.021</v>
      </c>
      <c r="BG455" t="s">
        <v>74</v>
      </c>
      <c r="BH455" t="s">
        <v>74</v>
      </c>
      <c r="BI455">
        <v>25</v>
      </c>
      <c r="BJ455" t="s">
        <v>477</v>
      </c>
      <c r="BK455" t="s">
        <v>96</v>
      </c>
      <c r="BL455" t="s">
        <v>477</v>
      </c>
      <c r="BM455" t="s">
        <v>6489</v>
      </c>
      <c r="BN455" t="s">
        <v>74</v>
      </c>
      <c r="BO455" t="s">
        <v>74</v>
      </c>
      <c r="BP455" t="s">
        <v>74</v>
      </c>
      <c r="BQ455" t="s">
        <v>74</v>
      </c>
      <c r="BR455" t="s">
        <v>99</v>
      </c>
      <c r="BS455" t="s">
        <v>6666</v>
      </c>
      <c r="BT455" t="str">
        <f>HYPERLINK("https%3A%2F%2Fwww.webofscience.com%2Fwos%2Fwoscc%2Ffull-record%2FWOS:000226045100020","View Full Record in Web of Science")</f>
        <v>View Full Record in Web of Science</v>
      </c>
    </row>
    <row r="456" spans="1:72" x14ac:dyDescent="0.15">
      <c r="A456" t="s">
        <v>72</v>
      </c>
      <c r="B456" t="s">
        <v>6667</v>
      </c>
      <c r="C456" t="s">
        <v>74</v>
      </c>
      <c r="D456" t="s">
        <v>74</v>
      </c>
      <c r="E456" t="s">
        <v>74</v>
      </c>
      <c r="F456" t="s">
        <v>6667</v>
      </c>
      <c r="G456" t="s">
        <v>74</v>
      </c>
      <c r="H456" t="s">
        <v>74</v>
      </c>
      <c r="I456" t="s">
        <v>6668</v>
      </c>
      <c r="J456" t="s">
        <v>6078</v>
      </c>
      <c r="K456" t="s">
        <v>74</v>
      </c>
      <c r="L456" t="s">
        <v>74</v>
      </c>
      <c r="M456" t="s">
        <v>77</v>
      </c>
      <c r="N456" t="s">
        <v>78</v>
      </c>
      <c r="O456" t="s">
        <v>74</v>
      </c>
      <c r="P456" t="s">
        <v>74</v>
      </c>
      <c r="Q456" t="s">
        <v>74</v>
      </c>
      <c r="R456" t="s">
        <v>74</v>
      </c>
      <c r="S456" t="s">
        <v>74</v>
      </c>
      <c r="T456" t="s">
        <v>74</v>
      </c>
      <c r="U456" t="s">
        <v>6669</v>
      </c>
      <c r="V456" t="s">
        <v>6670</v>
      </c>
      <c r="W456" t="s">
        <v>6671</v>
      </c>
      <c r="X456" t="s">
        <v>6672</v>
      </c>
      <c r="Y456" t="s">
        <v>6673</v>
      </c>
      <c r="Z456" t="s">
        <v>74</v>
      </c>
      <c r="AA456" t="s">
        <v>6674</v>
      </c>
      <c r="AB456" t="s">
        <v>6675</v>
      </c>
      <c r="AC456" t="s">
        <v>74</v>
      </c>
      <c r="AD456" t="s">
        <v>74</v>
      </c>
      <c r="AE456" t="s">
        <v>74</v>
      </c>
      <c r="AF456" t="s">
        <v>74</v>
      </c>
      <c r="AG456">
        <v>27</v>
      </c>
      <c r="AH456">
        <v>14</v>
      </c>
      <c r="AI456">
        <v>15</v>
      </c>
      <c r="AJ456">
        <v>1</v>
      </c>
      <c r="AK456">
        <v>13</v>
      </c>
      <c r="AL456" t="s">
        <v>213</v>
      </c>
      <c r="AM456" t="s">
        <v>214</v>
      </c>
      <c r="AN456" t="s">
        <v>215</v>
      </c>
      <c r="AO456" t="s">
        <v>6083</v>
      </c>
      <c r="AP456" t="s">
        <v>74</v>
      </c>
      <c r="AQ456" t="s">
        <v>74</v>
      </c>
      <c r="AR456" t="s">
        <v>6085</v>
      </c>
      <c r="AS456" t="s">
        <v>6086</v>
      </c>
      <c r="AT456" t="s">
        <v>74</v>
      </c>
      <c r="AU456">
        <v>2004</v>
      </c>
      <c r="AV456">
        <v>51</v>
      </c>
      <c r="AW456" t="s">
        <v>6487</v>
      </c>
      <c r="AX456" t="s">
        <v>74</v>
      </c>
      <c r="AY456" t="s">
        <v>74</v>
      </c>
      <c r="AZ456" t="s">
        <v>74</v>
      </c>
      <c r="BA456" t="s">
        <v>74</v>
      </c>
      <c r="BB456">
        <v>2305</v>
      </c>
      <c r="BC456">
        <v>2310</v>
      </c>
      <c r="BD456" t="s">
        <v>74</v>
      </c>
      <c r="BE456" t="s">
        <v>6676</v>
      </c>
      <c r="BF456" t="str">
        <f>HYPERLINK("http://dx.doi.org/10.1016/j.dsr2.2004.07.006","http://dx.doi.org/10.1016/j.dsr2.2004.07.006")</f>
        <v>http://dx.doi.org/10.1016/j.dsr2.2004.07.006</v>
      </c>
      <c r="BG456" t="s">
        <v>74</v>
      </c>
      <c r="BH456" t="s">
        <v>74</v>
      </c>
      <c r="BI456">
        <v>6</v>
      </c>
      <c r="BJ456" t="s">
        <v>477</v>
      </c>
      <c r="BK456" t="s">
        <v>96</v>
      </c>
      <c r="BL456" t="s">
        <v>477</v>
      </c>
      <c r="BM456" t="s">
        <v>6489</v>
      </c>
      <c r="BN456" t="s">
        <v>74</v>
      </c>
      <c r="BO456" t="s">
        <v>74</v>
      </c>
      <c r="BP456" t="s">
        <v>74</v>
      </c>
      <c r="BQ456" t="s">
        <v>74</v>
      </c>
      <c r="BR456" t="s">
        <v>99</v>
      </c>
      <c r="BS456" t="s">
        <v>6677</v>
      </c>
      <c r="BT456" t="str">
        <f>HYPERLINK("https%3A%2F%2Fwww.webofscience.com%2Fwos%2Fwoscc%2Ffull-record%2FWOS:000226045100021","View Full Record in Web of Science")</f>
        <v>View Full Record in Web of Science</v>
      </c>
    </row>
    <row r="457" spans="1:72" x14ac:dyDescent="0.15">
      <c r="A457" t="s">
        <v>72</v>
      </c>
      <c r="B457" t="s">
        <v>6678</v>
      </c>
      <c r="C457" t="s">
        <v>74</v>
      </c>
      <c r="D457" t="s">
        <v>74</v>
      </c>
      <c r="E457" t="s">
        <v>74</v>
      </c>
      <c r="F457" t="s">
        <v>6678</v>
      </c>
      <c r="G457" t="s">
        <v>74</v>
      </c>
      <c r="H457" t="s">
        <v>74</v>
      </c>
      <c r="I457" t="s">
        <v>6679</v>
      </c>
      <c r="J457" t="s">
        <v>6078</v>
      </c>
      <c r="K457" t="s">
        <v>74</v>
      </c>
      <c r="L457" t="s">
        <v>74</v>
      </c>
      <c r="M457" t="s">
        <v>77</v>
      </c>
      <c r="N457" t="s">
        <v>78</v>
      </c>
      <c r="O457" t="s">
        <v>74</v>
      </c>
      <c r="P457" t="s">
        <v>74</v>
      </c>
      <c r="Q457" t="s">
        <v>74</v>
      </c>
      <c r="R457" t="s">
        <v>74</v>
      </c>
      <c r="S457" t="s">
        <v>74</v>
      </c>
      <c r="T457" t="s">
        <v>74</v>
      </c>
      <c r="U457" t="s">
        <v>6680</v>
      </c>
      <c r="V457" t="s">
        <v>6681</v>
      </c>
      <c r="W457" t="s">
        <v>6682</v>
      </c>
      <c r="X457" t="s">
        <v>6683</v>
      </c>
      <c r="Y457" t="s">
        <v>6684</v>
      </c>
      <c r="Z457" t="s">
        <v>6685</v>
      </c>
      <c r="AA457" t="s">
        <v>6686</v>
      </c>
      <c r="AB457" t="s">
        <v>6687</v>
      </c>
      <c r="AC457" t="s">
        <v>74</v>
      </c>
      <c r="AD457" t="s">
        <v>74</v>
      </c>
      <c r="AE457" t="s">
        <v>74</v>
      </c>
      <c r="AF457" t="s">
        <v>74</v>
      </c>
      <c r="AG457">
        <v>59</v>
      </c>
      <c r="AH457">
        <v>69</v>
      </c>
      <c r="AI457">
        <v>86</v>
      </c>
      <c r="AJ457">
        <v>0</v>
      </c>
      <c r="AK457">
        <v>23</v>
      </c>
      <c r="AL457" t="s">
        <v>213</v>
      </c>
      <c r="AM457" t="s">
        <v>214</v>
      </c>
      <c r="AN457" t="s">
        <v>215</v>
      </c>
      <c r="AO457" t="s">
        <v>6083</v>
      </c>
      <c r="AP457" t="s">
        <v>6084</v>
      </c>
      <c r="AQ457" t="s">
        <v>74</v>
      </c>
      <c r="AR457" t="s">
        <v>6085</v>
      </c>
      <c r="AS457" t="s">
        <v>6086</v>
      </c>
      <c r="AT457" t="s">
        <v>74</v>
      </c>
      <c r="AU457">
        <v>2004</v>
      </c>
      <c r="AV457">
        <v>51</v>
      </c>
      <c r="AW457" t="s">
        <v>6487</v>
      </c>
      <c r="AX457" t="s">
        <v>74</v>
      </c>
      <c r="AY457" t="s">
        <v>74</v>
      </c>
      <c r="AZ457" t="s">
        <v>74</v>
      </c>
      <c r="BA457" t="s">
        <v>74</v>
      </c>
      <c r="BB457">
        <v>2311</v>
      </c>
      <c r="BC457">
        <v>2325</v>
      </c>
      <c r="BD457" t="s">
        <v>74</v>
      </c>
      <c r="BE457" t="s">
        <v>6688</v>
      </c>
      <c r="BF457" t="str">
        <f>HYPERLINK("http://dx.doi.org/10.1016/j.dsr2.2004.07.007","http://dx.doi.org/10.1016/j.dsr2.2004.07.007")</f>
        <v>http://dx.doi.org/10.1016/j.dsr2.2004.07.007</v>
      </c>
      <c r="BG457" t="s">
        <v>74</v>
      </c>
      <c r="BH457" t="s">
        <v>74</v>
      </c>
      <c r="BI457">
        <v>15</v>
      </c>
      <c r="BJ457" t="s">
        <v>477</v>
      </c>
      <c r="BK457" t="s">
        <v>96</v>
      </c>
      <c r="BL457" t="s">
        <v>477</v>
      </c>
      <c r="BM457" t="s">
        <v>6489</v>
      </c>
      <c r="BN457" t="s">
        <v>74</v>
      </c>
      <c r="BO457" t="s">
        <v>74</v>
      </c>
      <c r="BP457" t="s">
        <v>74</v>
      </c>
      <c r="BQ457" t="s">
        <v>74</v>
      </c>
      <c r="BR457" t="s">
        <v>99</v>
      </c>
      <c r="BS457" t="s">
        <v>6689</v>
      </c>
      <c r="BT457" t="str">
        <f>HYPERLINK("https%3A%2F%2Fwww.webofscience.com%2Fwos%2Fwoscc%2Ffull-record%2FWOS:000226045100022","View Full Record in Web of Science")</f>
        <v>View Full Record in Web of Science</v>
      </c>
    </row>
    <row r="458" spans="1:72" x14ac:dyDescent="0.15">
      <c r="A458" t="s">
        <v>72</v>
      </c>
      <c r="B458" t="s">
        <v>6690</v>
      </c>
      <c r="C458" t="s">
        <v>74</v>
      </c>
      <c r="D458" t="s">
        <v>74</v>
      </c>
      <c r="E458" t="s">
        <v>74</v>
      </c>
      <c r="F458" t="s">
        <v>6690</v>
      </c>
      <c r="G458" t="s">
        <v>74</v>
      </c>
      <c r="H458" t="s">
        <v>74</v>
      </c>
      <c r="I458" t="s">
        <v>6691</v>
      </c>
      <c r="J458" t="s">
        <v>6078</v>
      </c>
      <c r="K458" t="s">
        <v>74</v>
      </c>
      <c r="L458" t="s">
        <v>74</v>
      </c>
      <c r="M458" t="s">
        <v>77</v>
      </c>
      <c r="N458" t="s">
        <v>78</v>
      </c>
      <c r="O458" t="s">
        <v>74</v>
      </c>
      <c r="P458" t="s">
        <v>74</v>
      </c>
      <c r="Q458" t="s">
        <v>74</v>
      </c>
      <c r="R458" t="s">
        <v>74</v>
      </c>
      <c r="S458" t="s">
        <v>74</v>
      </c>
      <c r="T458" t="s">
        <v>74</v>
      </c>
      <c r="U458" t="s">
        <v>6692</v>
      </c>
      <c r="V458" t="s">
        <v>6693</v>
      </c>
      <c r="W458" t="s">
        <v>6694</v>
      </c>
      <c r="X458" t="s">
        <v>6695</v>
      </c>
      <c r="Y458" t="s">
        <v>6696</v>
      </c>
      <c r="Z458" t="s">
        <v>6697</v>
      </c>
      <c r="AA458" t="s">
        <v>6686</v>
      </c>
      <c r="AB458" t="s">
        <v>6687</v>
      </c>
      <c r="AC458" t="s">
        <v>74</v>
      </c>
      <c r="AD458" t="s">
        <v>74</v>
      </c>
      <c r="AE458" t="s">
        <v>74</v>
      </c>
      <c r="AF458" t="s">
        <v>74</v>
      </c>
      <c r="AG458">
        <v>75</v>
      </c>
      <c r="AH458">
        <v>185</v>
      </c>
      <c r="AI458">
        <v>214</v>
      </c>
      <c r="AJ458">
        <v>0</v>
      </c>
      <c r="AK458">
        <v>30</v>
      </c>
      <c r="AL458" t="s">
        <v>213</v>
      </c>
      <c r="AM458" t="s">
        <v>214</v>
      </c>
      <c r="AN458" t="s">
        <v>215</v>
      </c>
      <c r="AO458" t="s">
        <v>6083</v>
      </c>
      <c r="AP458" t="s">
        <v>6084</v>
      </c>
      <c r="AQ458" t="s">
        <v>74</v>
      </c>
      <c r="AR458" t="s">
        <v>6085</v>
      </c>
      <c r="AS458" t="s">
        <v>6086</v>
      </c>
      <c r="AT458" t="s">
        <v>74</v>
      </c>
      <c r="AU458">
        <v>2004</v>
      </c>
      <c r="AV458">
        <v>51</v>
      </c>
      <c r="AW458" t="s">
        <v>6487</v>
      </c>
      <c r="AX458" t="s">
        <v>74</v>
      </c>
      <c r="AY458" t="s">
        <v>74</v>
      </c>
      <c r="AZ458" t="s">
        <v>74</v>
      </c>
      <c r="BA458" t="s">
        <v>74</v>
      </c>
      <c r="BB458">
        <v>2327</v>
      </c>
      <c r="BC458">
        <v>2344</v>
      </c>
      <c r="BD458" t="s">
        <v>74</v>
      </c>
      <c r="BE458" t="s">
        <v>6698</v>
      </c>
      <c r="BF458" t="str">
        <f>HYPERLINK("http://dx.doi.org/10.1016/j.dsr2.2004.08.005","http://dx.doi.org/10.1016/j.dsr2.2004.08.005")</f>
        <v>http://dx.doi.org/10.1016/j.dsr2.2004.08.005</v>
      </c>
      <c r="BG458" t="s">
        <v>74</v>
      </c>
      <c r="BH458" t="s">
        <v>74</v>
      </c>
      <c r="BI458">
        <v>18</v>
      </c>
      <c r="BJ458" t="s">
        <v>477</v>
      </c>
      <c r="BK458" t="s">
        <v>96</v>
      </c>
      <c r="BL458" t="s">
        <v>477</v>
      </c>
      <c r="BM458" t="s">
        <v>6489</v>
      </c>
      <c r="BN458" t="s">
        <v>74</v>
      </c>
      <c r="BO458" t="s">
        <v>74</v>
      </c>
      <c r="BP458" t="s">
        <v>74</v>
      </c>
      <c r="BQ458" t="s">
        <v>74</v>
      </c>
      <c r="BR458" t="s">
        <v>99</v>
      </c>
      <c r="BS458" t="s">
        <v>6699</v>
      </c>
      <c r="BT458" t="str">
        <f>HYPERLINK("https%3A%2F%2Fwww.webofscience.com%2Fwos%2Fwoscc%2Ffull-record%2FWOS:000226045100023","View Full Record in Web of Science")</f>
        <v>View Full Record in Web of Science</v>
      </c>
    </row>
    <row r="459" spans="1:72" x14ac:dyDescent="0.15">
      <c r="A459" t="s">
        <v>72</v>
      </c>
      <c r="B459" t="s">
        <v>6700</v>
      </c>
      <c r="C459" t="s">
        <v>74</v>
      </c>
      <c r="D459" t="s">
        <v>74</v>
      </c>
      <c r="E459" t="s">
        <v>74</v>
      </c>
      <c r="F459" t="s">
        <v>6700</v>
      </c>
      <c r="G459" t="s">
        <v>74</v>
      </c>
      <c r="H459" t="s">
        <v>74</v>
      </c>
      <c r="I459" t="s">
        <v>6701</v>
      </c>
      <c r="J459" t="s">
        <v>6078</v>
      </c>
      <c r="K459" t="s">
        <v>74</v>
      </c>
      <c r="L459" t="s">
        <v>74</v>
      </c>
      <c r="M459" t="s">
        <v>77</v>
      </c>
      <c r="N459" t="s">
        <v>78</v>
      </c>
      <c r="O459" t="s">
        <v>74</v>
      </c>
      <c r="P459" t="s">
        <v>74</v>
      </c>
      <c r="Q459" t="s">
        <v>74</v>
      </c>
      <c r="R459" t="s">
        <v>74</v>
      </c>
      <c r="S459" t="s">
        <v>74</v>
      </c>
      <c r="T459" t="s">
        <v>74</v>
      </c>
      <c r="U459" t="s">
        <v>6702</v>
      </c>
      <c r="V459" t="s">
        <v>6703</v>
      </c>
      <c r="W459" t="s">
        <v>6704</v>
      </c>
      <c r="X459" t="s">
        <v>6705</v>
      </c>
      <c r="Y459" t="s">
        <v>6706</v>
      </c>
      <c r="Z459" t="s">
        <v>6707</v>
      </c>
      <c r="AA459" t="s">
        <v>6708</v>
      </c>
      <c r="AB459" t="s">
        <v>6709</v>
      </c>
      <c r="AC459" t="s">
        <v>74</v>
      </c>
      <c r="AD459" t="s">
        <v>74</v>
      </c>
      <c r="AE459" t="s">
        <v>74</v>
      </c>
      <c r="AF459" t="s">
        <v>74</v>
      </c>
      <c r="AG459">
        <v>48</v>
      </c>
      <c r="AH459">
        <v>21</v>
      </c>
      <c r="AI459">
        <v>22</v>
      </c>
      <c r="AJ459">
        <v>0</v>
      </c>
      <c r="AK459">
        <v>11</v>
      </c>
      <c r="AL459" t="s">
        <v>213</v>
      </c>
      <c r="AM459" t="s">
        <v>214</v>
      </c>
      <c r="AN459" t="s">
        <v>215</v>
      </c>
      <c r="AO459" t="s">
        <v>6083</v>
      </c>
      <c r="AP459" t="s">
        <v>6084</v>
      </c>
      <c r="AQ459" t="s">
        <v>74</v>
      </c>
      <c r="AR459" t="s">
        <v>6085</v>
      </c>
      <c r="AS459" t="s">
        <v>6086</v>
      </c>
      <c r="AT459" t="s">
        <v>74</v>
      </c>
      <c r="AU459">
        <v>2004</v>
      </c>
      <c r="AV459">
        <v>51</v>
      </c>
      <c r="AW459" t="s">
        <v>6710</v>
      </c>
      <c r="AX459" t="s">
        <v>74</v>
      </c>
      <c r="AY459" t="s">
        <v>74</v>
      </c>
      <c r="AZ459" t="s">
        <v>74</v>
      </c>
      <c r="BA459" t="s">
        <v>74</v>
      </c>
      <c r="BB459">
        <v>2349</v>
      </c>
      <c r="BC459">
        <v>2369</v>
      </c>
      <c r="BD459" t="s">
        <v>74</v>
      </c>
      <c r="BE459" t="s">
        <v>6711</v>
      </c>
      <c r="BF459" t="str">
        <f>HYPERLINK("http://dx.doi.org/10.1016/j.dsr2.2004.08.009","http://dx.doi.org/10.1016/j.dsr2.2004.08.009")</f>
        <v>http://dx.doi.org/10.1016/j.dsr2.2004.08.009</v>
      </c>
      <c r="BG459" t="s">
        <v>74</v>
      </c>
      <c r="BH459" t="s">
        <v>74</v>
      </c>
      <c r="BI459">
        <v>21</v>
      </c>
      <c r="BJ459" t="s">
        <v>477</v>
      </c>
      <c r="BK459" t="s">
        <v>96</v>
      </c>
      <c r="BL459" t="s">
        <v>477</v>
      </c>
      <c r="BM459" t="s">
        <v>6712</v>
      </c>
      <c r="BN459" t="s">
        <v>74</v>
      </c>
      <c r="BO459" t="s">
        <v>74</v>
      </c>
      <c r="BP459" t="s">
        <v>74</v>
      </c>
      <c r="BQ459" t="s">
        <v>74</v>
      </c>
      <c r="BR459" t="s">
        <v>99</v>
      </c>
      <c r="BS459" t="s">
        <v>6713</v>
      </c>
      <c r="BT459" t="str">
        <f>HYPERLINK("https%3A%2F%2Fwww.webofscience.com%2Fwos%2Fwoscc%2Ffull-record%2FWOS:000226056800002","View Full Record in Web of Science")</f>
        <v>View Full Record in Web of Science</v>
      </c>
    </row>
    <row r="460" spans="1:72" x14ac:dyDescent="0.15">
      <c r="A460" t="s">
        <v>72</v>
      </c>
      <c r="B460" t="s">
        <v>6714</v>
      </c>
      <c r="C460" t="s">
        <v>74</v>
      </c>
      <c r="D460" t="s">
        <v>74</v>
      </c>
      <c r="E460" t="s">
        <v>74</v>
      </c>
      <c r="F460" t="s">
        <v>6714</v>
      </c>
      <c r="G460" t="s">
        <v>74</v>
      </c>
      <c r="H460" t="s">
        <v>74</v>
      </c>
      <c r="I460" t="s">
        <v>6715</v>
      </c>
      <c r="J460" t="s">
        <v>6078</v>
      </c>
      <c r="K460" t="s">
        <v>74</v>
      </c>
      <c r="L460" t="s">
        <v>74</v>
      </c>
      <c r="M460" t="s">
        <v>77</v>
      </c>
      <c r="N460" t="s">
        <v>78</v>
      </c>
      <c r="O460" t="s">
        <v>74</v>
      </c>
      <c r="P460" t="s">
        <v>74</v>
      </c>
      <c r="Q460" t="s">
        <v>74</v>
      </c>
      <c r="R460" t="s">
        <v>74</v>
      </c>
      <c r="S460" t="s">
        <v>74</v>
      </c>
      <c r="T460" t="s">
        <v>74</v>
      </c>
      <c r="U460" t="s">
        <v>6716</v>
      </c>
      <c r="V460" t="s">
        <v>6717</v>
      </c>
      <c r="W460" t="s">
        <v>6718</v>
      </c>
      <c r="X460" t="s">
        <v>6719</v>
      </c>
      <c r="Y460" t="s">
        <v>6720</v>
      </c>
      <c r="Z460" t="s">
        <v>6721</v>
      </c>
      <c r="AA460" t="s">
        <v>6722</v>
      </c>
      <c r="AB460" t="s">
        <v>6723</v>
      </c>
      <c r="AC460" t="s">
        <v>74</v>
      </c>
      <c r="AD460" t="s">
        <v>74</v>
      </c>
      <c r="AE460" t="s">
        <v>74</v>
      </c>
      <c r="AF460" t="s">
        <v>74</v>
      </c>
      <c r="AG460">
        <v>40</v>
      </c>
      <c r="AH460">
        <v>5</v>
      </c>
      <c r="AI460">
        <v>6</v>
      </c>
      <c r="AJ460">
        <v>0</v>
      </c>
      <c r="AK460">
        <v>5</v>
      </c>
      <c r="AL460" t="s">
        <v>213</v>
      </c>
      <c r="AM460" t="s">
        <v>214</v>
      </c>
      <c r="AN460" t="s">
        <v>215</v>
      </c>
      <c r="AO460" t="s">
        <v>6083</v>
      </c>
      <c r="AP460" t="s">
        <v>6084</v>
      </c>
      <c r="AQ460" t="s">
        <v>74</v>
      </c>
      <c r="AR460" t="s">
        <v>6085</v>
      </c>
      <c r="AS460" t="s">
        <v>6086</v>
      </c>
      <c r="AT460" t="s">
        <v>74</v>
      </c>
      <c r="AU460">
        <v>2004</v>
      </c>
      <c r="AV460">
        <v>51</v>
      </c>
      <c r="AW460" t="s">
        <v>6724</v>
      </c>
      <c r="AX460" t="s">
        <v>74</v>
      </c>
      <c r="AY460" t="s">
        <v>74</v>
      </c>
      <c r="AZ460" t="s">
        <v>74</v>
      </c>
      <c r="BA460" t="s">
        <v>74</v>
      </c>
      <c r="BB460">
        <v>2543</v>
      </c>
      <c r="BC460">
        <v>2556</v>
      </c>
      <c r="BD460" t="s">
        <v>74</v>
      </c>
      <c r="BE460" t="s">
        <v>6725</v>
      </c>
      <c r="BF460" t="str">
        <f>HYPERLINK("http://dx.doi.org/10.1016/j.dsr2.2003.08.006","http://dx.doi.org/10.1016/j.dsr2.2003.08.006")</f>
        <v>http://dx.doi.org/10.1016/j.dsr2.2003.08.006</v>
      </c>
      <c r="BG460" t="s">
        <v>74</v>
      </c>
      <c r="BH460" t="s">
        <v>74</v>
      </c>
      <c r="BI460">
        <v>14</v>
      </c>
      <c r="BJ460" t="s">
        <v>477</v>
      </c>
      <c r="BK460" t="s">
        <v>96</v>
      </c>
      <c r="BL460" t="s">
        <v>477</v>
      </c>
      <c r="BM460" t="s">
        <v>6726</v>
      </c>
      <c r="BN460" t="s">
        <v>74</v>
      </c>
      <c r="BO460" t="s">
        <v>74</v>
      </c>
      <c r="BP460" t="s">
        <v>74</v>
      </c>
      <c r="BQ460" t="s">
        <v>74</v>
      </c>
      <c r="BR460" t="s">
        <v>99</v>
      </c>
      <c r="BS460" t="s">
        <v>6727</v>
      </c>
      <c r="BT460" t="str">
        <f>HYPERLINK("https%3A%2F%2Fwww.webofscience.com%2Fwos%2Fwoscc%2Ffull-record%2FWOS:000226056900001","View Full Record in Web of Science")</f>
        <v>View Full Record in Web of Science</v>
      </c>
    </row>
    <row r="461" spans="1:72" x14ac:dyDescent="0.15">
      <c r="A461" t="s">
        <v>72</v>
      </c>
      <c r="B461" t="s">
        <v>6728</v>
      </c>
      <c r="C461" t="s">
        <v>74</v>
      </c>
      <c r="D461" t="s">
        <v>74</v>
      </c>
      <c r="E461" t="s">
        <v>74</v>
      </c>
      <c r="F461" t="s">
        <v>6728</v>
      </c>
      <c r="G461" t="s">
        <v>74</v>
      </c>
      <c r="H461" t="s">
        <v>74</v>
      </c>
      <c r="I461" t="s">
        <v>6729</v>
      </c>
      <c r="J461" t="s">
        <v>6078</v>
      </c>
      <c r="K461" t="s">
        <v>74</v>
      </c>
      <c r="L461" t="s">
        <v>74</v>
      </c>
      <c r="M461" t="s">
        <v>77</v>
      </c>
      <c r="N461" t="s">
        <v>78</v>
      </c>
      <c r="O461" t="s">
        <v>74</v>
      </c>
      <c r="P461" t="s">
        <v>74</v>
      </c>
      <c r="Q461" t="s">
        <v>74</v>
      </c>
      <c r="R461" t="s">
        <v>74</v>
      </c>
      <c r="S461" t="s">
        <v>74</v>
      </c>
      <c r="T461" t="s">
        <v>74</v>
      </c>
      <c r="U461" t="s">
        <v>6730</v>
      </c>
      <c r="V461" t="s">
        <v>6731</v>
      </c>
      <c r="W461" t="s">
        <v>6732</v>
      </c>
      <c r="X461" t="s">
        <v>6733</v>
      </c>
      <c r="Y461" t="s">
        <v>6734</v>
      </c>
      <c r="Z461" t="s">
        <v>6735</v>
      </c>
      <c r="AA461" t="s">
        <v>74</v>
      </c>
      <c r="AB461" t="s">
        <v>74</v>
      </c>
      <c r="AC461" t="s">
        <v>74</v>
      </c>
      <c r="AD461" t="s">
        <v>74</v>
      </c>
      <c r="AE461" t="s">
        <v>74</v>
      </c>
      <c r="AF461" t="s">
        <v>74</v>
      </c>
      <c r="AG461">
        <v>44</v>
      </c>
      <c r="AH461">
        <v>26</v>
      </c>
      <c r="AI461">
        <v>27</v>
      </c>
      <c r="AJ461">
        <v>0</v>
      </c>
      <c r="AK461">
        <v>16</v>
      </c>
      <c r="AL461" t="s">
        <v>213</v>
      </c>
      <c r="AM461" t="s">
        <v>214</v>
      </c>
      <c r="AN461" t="s">
        <v>215</v>
      </c>
      <c r="AO461" t="s">
        <v>6083</v>
      </c>
      <c r="AP461" t="s">
        <v>74</v>
      </c>
      <c r="AQ461" t="s">
        <v>74</v>
      </c>
      <c r="AR461" t="s">
        <v>6085</v>
      </c>
      <c r="AS461" t="s">
        <v>6086</v>
      </c>
      <c r="AT461" t="s">
        <v>74</v>
      </c>
      <c r="AU461">
        <v>2004</v>
      </c>
      <c r="AV461">
        <v>51</v>
      </c>
      <c r="AW461" t="s">
        <v>6724</v>
      </c>
      <c r="AX461" t="s">
        <v>74</v>
      </c>
      <c r="AY461" t="s">
        <v>74</v>
      </c>
      <c r="AZ461" t="s">
        <v>74</v>
      </c>
      <c r="BA461" t="s">
        <v>74</v>
      </c>
      <c r="BB461">
        <v>2569</v>
      </c>
      <c r="BC461">
        <v>2582</v>
      </c>
      <c r="BD461" t="s">
        <v>74</v>
      </c>
      <c r="BE461" t="s">
        <v>6736</v>
      </c>
      <c r="BF461" t="str">
        <f>HYPERLINK("http://dx.doi.org/10.1016/j.dsr2.2001.01.003","http://dx.doi.org/10.1016/j.dsr2.2001.01.003")</f>
        <v>http://dx.doi.org/10.1016/j.dsr2.2001.01.003</v>
      </c>
      <c r="BG461" t="s">
        <v>74</v>
      </c>
      <c r="BH461" t="s">
        <v>74</v>
      </c>
      <c r="BI461">
        <v>14</v>
      </c>
      <c r="BJ461" t="s">
        <v>477</v>
      </c>
      <c r="BK461" t="s">
        <v>96</v>
      </c>
      <c r="BL461" t="s">
        <v>477</v>
      </c>
      <c r="BM461" t="s">
        <v>6726</v>
      </c>
      <c r="BN461" t="s">
        <v>74</v>
      </c>
      <c r="BO461" t="s">
        <v>74</v>
      </c>
      <c r="BP461" t="s">
        <v>74</v>
      </c>
      <c r="BQ461" t="s">
        <v>74</v>
      </c>
      <c r="BR461" t="s">
        <v>99</v>
      </c>
      <c r="BS461" t="s">
        <v>6737</v>
      </c>
      <c r="BT461" t="str">
        <f>HYPERLINK("https%3A%2F%2Fwww.webofscience.com%2Fwos%2Fwoscc%2Ffull-record%2FWOS:000226056900003","View Full Record in Web of Science")</f>
        <v>View Full Record in Web of Science</v>
      </c>
    </row>
    <row r="462" spans="1:72" x14ac:dyDescent="0.15">
      <c r="A462" t="s">
        <v>72</v>
      </c>
      <c r="B462" t="s">
        <v>6738</v>
      </c>
      <c r="C462" t="s">
        <v>74</v>
      </c>
      <c r="D462" t="s">
        <v>74</v>
      </c>
      <c r="E462" t="s">
        <v>74</v>
      </c>
      <c r="F462" t="s">
        <v>6738</v>
      </c>
      <c r="G462" t="s">
        <v>74</v>
      </c>
      <c r="H462" t="s">
        <v>74</v>
      </c>
      <c r="I462" t="s">
        <v>6739</v>
      </c>
      <c r="J462" t="s">
        <v>6078</v>
      </c>
      <c r="K462" t="s">
        <v>74</v>
      </c>
      <c r="L462" t="s">
        <v>74</v>
      </c>
      <c r="M462" t="s">
        <v>77</v>
      </c>
      <c r="N462" t="s">
        <v>78</v>
      </c>
      <c r="O462" t="s">
        <v>74</v>
      </c>
      <c r="P462" t="s">
        <v>74</v>
      </c>
      <c r="Q462" t="s">
        <v>74</v>
      </c>
      <c r="R462" t="s">
        <v>74</v>
      </c>
      <c r="S462" t="s">
        <v>74</v>
      </c>
      <c r="T462" t="s">
        <v>74</v>
      </c>
      <c r="U462" t="s">
        <v>6740</v>
      </c>
      <c r="V462" t="s">
        <v>6741</v>
      </c>
      <c r="W462" t="s">
        <v>6742</v>
      </c>
      <c r="X462" t="s">
        <v>6743</v>
      </c>
      <c r="Y462" t="s">
        <v>3270</v>
      </c>
      <c r="Z462" t="s">
        <v>3271</v>
      </c>
      <c r="AA462" t="s">
        <v>6744</v>
      </c>
      <c r="AB462" t="s">
        <v>6745</v>
      </c>
      <c r="AC462" t="s">
        <v>74</v>
      </c>
      <c r="AD462" t="s">
        <v>74</v>
      </c>
      <c r="AE462" t="s">
        <v>74</v>
      </c>
      <c r="AF462" t="s">
        <v>74</v>
      </c>
      <c r="AG462">
        <v>55</v>
      </c>
      <c r="AH462">
        <v>29</v>
      </c>
      <c r="AI462">
        <v>33</v>
      </c>
      <c r="AJ462">
        <v>0</v>
      </c>
      <c r="AK462">
        <v>14</v>
      </c>
      <c r="AL462" t="s">
        <v>213</v>
      </c>
      <c r="AM462" t="s">
        <v>214</v>
      </c>
      <c r="AN462" t="s">
        <v>215</v>
      </c>
      <c r="AO462" t="s">
        <v>6083</v>
      </c>
      <c r="AP462" t="s">
        <v>74</v>
      </c>
      <c r="AQ462" t="s">
        <v>74</v>
      </c>
      <c r="AR462" t="s">
        <v>6085</v>
      </c>
      <c r="AS462" t="s">
        <v>6086</v>
      </c>
      <c r="AT462" t="s">
        <v>74</v>
      </c>
      <c r="AU462">
        <v>2004</v>
      </c>
      <c r="AV462">
        <v>51</v>
      </c>
      <c r="AW462" t="s">
        <v>6724</v>
      </c>
      <c r="AX462" t="s">
        <v>74</v>
      </c>
      <c r="AY462" t="s">
        <v>74</v>
      </c>
      <c r="AZ462" t="s">
        <v>74</v>
      </c>
      <c r="BA462" t="s">
        <v>74</v>
      </c>
      <c r="BB462">
        <v>2599</v>
      </c>
      <c r="BC462">
        <v>2616</v>
      </c>
      <c r="BD462" t="s">
        <v>74</v>
      </c>
      <c r="BE462" t="s">
        <v>6746</v>
      </c>
      <c r="BF462" t="str">
        <f>HYPERLINK("http://dx.doi.org/10.1016/j.dsr2.2000.11.001","http://dx.doi.org/10.1016/j.dsr2.2000.11.001")</f>
        <v>http://dx.doi.org/10.1016/j.dsr2.2000.11.001</v>
      </c>
      <c r="BG462" t="s">
        <v>74</v>
      </c>
      <c r="BH462" t="s">
        <v>74</v>
      </c>
      <c r="BI462">
        <v>18</v>
      </c>
      <c r="BJ462" t="s">
        <v>477</v>
      </c>
      <c r="BK462" t="s">
        <v>96</v>
      </c>
      <c r="BL462" t="s">
        <v>477</v>
      </c>
      <c r="BM462" t="s">
        <v>6726</v>
      </c>
      <c r="BN462" t="s">
        <v>74</v>
      </c>
      <c r="BO462" t="s">
        <v>74</v>
      </c>
      <c r="BP462" t="s">
        <v>74</v>
      </c>
      <c r="BQ462" t="s">
        <v>74</v>
      </c>
      <c r="BR462" t="s">
        <v>99</v>
      </c>
      <c r="BS462" t="s">
        <v>6747</v>
      </c>
      <c r="BT462" t="str">
        <f>HYPERLINK("https%3A%2F%2Fwww.webofscience.com%2Fwos%2Fwoscc%2Ffull-record%2FWOS:000226056900005","View Full Record in Web of Science")</f>
        <v>View Full Record in Web of Science</v>
      </c>
    </row>
    <row r="463" spans="1:72" x14ac:dyDescent="0.15">
      <c r="A463" t="s">
        <v>72</v>
      </c>
      <c r="B463" t="s">
        <v>6738</v>
      </c>
      <c r="C463" t="s">
        <v>74</v>
      </c>
      <c r="D463" t="s">
        <v>74</v>
      </c>
      <c r="E463" t="s">
        <v>74</v>
      </c>
      <c r="F463" t="s">
        <v>6738</v>
      </c>
      <c r="G463" t="s">
        <v>74</v>
      </c>
      <c r="H463" t="s">
        <v>74</v>
      </c>
      <c r="I463" t="s">
        <v>6748</v>
      </c>
      <c r="J463" t="s">
        <v>6078</v>
      </c>
      <c r="K463" t="s">
        <v>74</v>
      </c>
      <c r="L463" t="s">
        <v>74</v>
      </c>
      <c r="M463" t="s">
        <v>77</v>
      </c>
      <c r="N463" t="s">
        <v>78</v>
      </c>
      <c r="O463" t="s">
        <v>74</v>
      </c>
      <c r="P463" t="s">
        <v>74</v>
      </c>
      <c r="Q463" t="s">
        <v>74</v>
      </c>
      <c r="R463" t="s">
        <v>74</v>
      </c>
      <c r="S463" t="s">
        <v>74</v>
      </c>
      <c r="T463" t="s">
        <v>74</v>
      </c>
      <c r="U463" t="s">
        <v>6749</v>
      </c>
      <c r="V463" t="s">
        <v>6750</v>
      </c>
      <c r="W463" t="s">
        <v>6751</v>
      </c>
      <c r="X463" t="s">
        <v>6752</v>
      </c>
      <c r="Y463" t="s">
        <v>6753</v>
      </c>
      <c r="Z463" t="s">
        <v>3271</v>
      </c>
      <c r="AA463" t="s">
        <v>6744</v>
      </c>
      <c r="AB463" t="s">
        <v>6745</v>
      </c>
      <c r="AC463" t="s">
        <v>74</v>
      </c>
      <c r="AD463" t="s">
        <v>74</v>
      </c>
      <c r="AE463" t="s">
        <v>74</v>
      </c>
      <c r="AF463" t="s">
        <v>74</v>
      </c>
      <c r="AG463">
        <v>53</v>
      </c>
      <c r="AH463">
        <v>48</v>
      </c>
      <c r="AI463">
        <v>49</v>
      </c>
      <c r="AJ463">
        <v>0</v>
      </c>
      <c r="AK463">
        <v>17</v>
      </c>
      <c r="AL463" t="s">
        <v>213</v>
      </c>
      <c r="AM463" t="s">
        <v>214</v>
      </c>
      <c r="AN463" t="s">
        <v>215</v>
      </c>
      <c r="AO463" t="s">
        <v>6083</v>
      </c>
      <c r="AP463" t="s">
        <v>6084</v>
      </c>
      <c r="AQ463" t="s">
        <v>74</v>
      </c>
      <c r="AR463" t="s">
        <v>6085</v>
      </c>
      <c r="AS463" t="s">
        <v>6086</v>
      </c>
      <c r="AT463" t="s">
        <v>74</v>
      </c>
      <c r="AU463">
        <v>2004</v>
      </c>
      <c r="AV463">
        <v>51</v>
      </c>
      <c r="AW463" t="s">
        <v>6724</v>
      </c>
      <c r="AX463" t="s">
        <v>74</v>
      </c>
      <c r="AY463" t="s">
        <v>74</v>
      </c>
      <c r="AZ463" t="s">
        <v>74</v>
      </c>
      <c r="BA463" t="s">
        <v>74</v>
      </c>
      <c r="BB463">
        <v>2617</v>
      </c>
      <c r="BC463">
        <v>2631</v>
      </c>
      <c r="BD463" t="s">
        <v>74</v>
      </c>
      <c r="BE463" t="s">
        <v>6754</v>
      </c>
      <c r="BF463" t="str">
        <f>HYPERLINK("http://dx.doi.org/10.1016/j.dsr2.2000.11.002","http://dx.doi.org/10.1016/j.dsr2.2000.11.002")</f>
        <v>http://dx.doi.org/10.1016/j.dsr2.2000.11.002</v>
      </c>
      <c r="BG463" t="s">
        <v>74</v>
      </c>
      <c r="BH463" t="s">
        <v>74</v>
      </c>
      <c r="BI463">
        <v>15</v>
      </c>
      <c r="BJ463" t="s">
        <v>477</v>
      </c>
      <c r="BK463" t="s">
        <v>96</v>
      </c>
      <c r="BL463" t="s">
        <v>477</v>
      </c>
      <c r="BM463" t="s">
        <v>6726</v>
      </c>
      <c r="BN463" t="s">
        <v>74</v>
      </c>
      <c r="BO463" t="s">
        <v>74</v>
      </c>
      <c r="BP463" t="s">
        <v>74</v>
      </c>
      <c r="BQ463" t="s">
        <v>74</v>
      </c>
      <c r="BR463" t="s">
        <v>99</v>
      </c>
      <c r="BS463" t="s">
        <v>6755</v>
      </c>
      <c r="BT463" t="str">
        <f>HYPERLINK("https%3A%2F%2Fwww.webofscience.com%2Fwos%2Fwoscc%2Ffull-record%2FWOS:000226056900006","View Full Record in Web of Science")</f>
        <v>View Full Record in Web of Science</v>
      </c>
    </row>
    <row r="464" spans="1:72" x14ac:dyDescent="0.15">
      <c r="A464" t="s">
        <v>72</v>
      </c>
      <c r="B464" t="s">
        <v>6756</v>
      </c>
      <c r="C464" t="s">
        <v>74</v>
      </c>
      <c r="D464" t="s">
        <v>74</v>
      </c>
      <c r="E464" t="s">
        <v>74</v>
      </c>
      <c r="F464" t="s">
        <v>6756</v>
      </c>
      <c r="G464" t="s">
        <v>74</v>
      </c>
      <c r="H464" t="s">
        <v>74</v>
      </c>
      <c r="I464" t="s">
        <v>6757</v>
      </c>
      <c r="J464" t="s">
        <v>6078</v>
      </c>
      <c r="K464" t="s">
        <v>74</v>
      </c>
      <c r="L464" t="s">
        <v>74</v>
      </c>
      <c r="M464" t="s">
        <v>77</v>
      </c>
      <c r="N464" t="s">
        <v>78</v>
      </c>
      <c r="O464" t="s">
        <v>74</v>
      </c>
      <c r="P464" t="s">
        <v>74</v>
      </c>
      <c r="Q464" t="s">
        <v>74</v>
      </c>
      <c r="R464" t="s">
        <v>74</v>
      </c>
      <c r="S464" t="s">
        <v>74</v>
      </c>
      <c r="T464" t="s">
        <v>74</v>
      </c>
      <c r="U464" t="s">
        <v>6758</v>
      </c>
      <c r="V464" t="s">
        <v>6759</v>
      </c>
      <c r="W464" t="s">
        <v>6742</v>
      </c>
      <c r="X464" t="s">
        <v>6743</v>
      </c>
      <c r="Y464" t="s">
        <v>6760</v>
      </c>
      <c r="Z464" t="s">
        <v>6761</v>
      </c>
      <c r="AA464" t="s">
        <v>6744</v>
      </c>
      <c r="AB464" t="s">
        <v>6745</v>
      </c>
      <c r="AC464" t="s">
        <v>74</v>
      </c>
      <c r="AD464" t="s">
        <v>74</v>
      </c>
      <c r="AE464" t="s">
        <v>74</v>
      </c>
      <c r="AF464" t="s">
        <v>74</v>
      </c>
      <c r="AG464">
        <v>51</v>
      </c>
      <c r="AH464">
        <v>24</v>
      </c>
      <c r="AI464">
        <v>26</v>
      </c>
      <c r="AJ464">
        <v>1</v>
      </c>
      <c r="AK464">
        <v>10</v>
      </c>
      <c r="AL464" t="s">
        <v>213</v>
      </c>
      <c r="AM464" t="s">
        <v>214</v>
      </c>
      <c r="AN464" t="s">
        <v>215</v>
      </c>
      <c r="AO464" t="s">
        <v>6083</v>
      </c>
      <c r="AP464" t="s">
        <v>6084</v>
      </c>
      <c r="AQ464" t="s">
        <v>74</v>
      </c>
      <c r="AR464" t="s">
        <v>6085</v>
      </c>
      <c r="AS464" t="s">
        <v>6086</v>
      </c>
      <c r="AT464" t="s">
        <v>74</v>
      </c>
      <c r="AU464">
        <v>2004</v>
      </c>
      <c r="AV464">
        <v>51</v>
      </c>
      <c r="AW464" t="s">
        <v>6724</v>
      </c>
      <c r="AX464" t="s">
        <v>74</v>
      </c>
      <c r="AY464" t="s">
        <v>74</v>
      </c>
      <c r="AZ464" t="s">
        <v>74</v>
      </c>
      <c r="BA464" t="s">
        <v>74</v>
      </c>
      <c r="BB464">
        <v>2633</v>
      </c>
      <c r="BC464">
        <v>2643</v>
      </c>
      <c r="BD464" t="s">
        <v>74</v>
      </c>
      <c r="BE464" t="s">
        <v>6762</v>
      </c>
      <c r="BF464" t="str">
        <f>HYPERLINK("http://dx.doi.org/10.1016/j.dsr2.2004.09.001","http://dx.doi.org/10.1016/j.dsr2.2004.09.001")</f>
        <v>http://dx.doi.org/10.1016/j.dsr2.2004.09.001</v>
      </c>
      <c r="BG464" t="s">
        <v>74</v>
      </c>
      <c r="BH464" t="s">
        <v>74</v>
      </c>
      <c r="BI464">
        <v>11</v>
      </c>
      <c r="BJ464" t="s">
        <v>477</v>
      </c>
      <c r="BK464" t="s">
        <v>96</v>
      </c>
      <c r="BL464" t="s">
        <v>477</v>
      </c>
      <c r="BM464" t="s">
        <v>6726</v>
      </c>
      <c r="BN464" t="s">
        <v>74</v>
      </c>
      <c r="BO464" t="s">
        <v>74</v>
      </c>
      <c r="BP464" t="s">
        <v>74</v>
      </c>
      <c r="BQ464" t="s">
        <v>74</v>
      </c>
      <c r="BR464" t="s">
        <v>99</v>
      </c>
      <c r="BS464" t="s">
        <v>6763</v>
      </c>
      <c r="BT464" t="str">
        <f>HYPERLINK("https%3A%2F%2Fwww.webofscience.com%2Fwos%2Fwoscc%2Ffull-record%2FWOS:000226056900007","View Full Record in Web of Science")</f>
        <v>View Full Record in Web of Science</v>
      </c>
    </row>
    <row r="465" spans="1:72" x14ac:dyDescent="0.15">
      <c r="A465" t="s">
        <v>72</v>
      </c>
      <c r="B465" t="s">
        <v>6764</v>
      </c>
      <c r="C465" t="s">
        <v>74</v>
      </c>
      <c r="D465" t="s">
        <v>74</v>
      </c>
      <c r="E465" t="s">
        <v>74</v>
      </c>
      <c r="F465" t="s">
        <v>6764</v>
      </c>
      <c r="G465" t="s">
        <v>74</v>
      </c>
      <c r="H465" t="s">
        <v>74</v>
      </c>
      <c r="I465" t="s">
        <v>6765</v>
      </c>
      <c r="J465" t="s">
        <v>6078</v>
      </c>
      <c r="K465" t="s">
        <v>74</v>
      </c>
      <c r="L465" t="s">
        <v>74</v>
      </c>
      <c r="M465" t="s">
        <v>77</v>
      </c>
      <c r="N465" t="s">
        <v>78</v>
      </c>
      <c r="O465" t="s">
        <v>74</v>
      </c>
      <c r="P465" t="s">
        <v>74</v>
      </c>
      <c r="Q465" t="s">
        <v>74</v>
      </c>
      <c r="R465" t="s">
        <v>74</v>
      </c>
      <c r="S465" t="s">
        <v>74</v>
      </c>
      <c r="T465" t="s">
        <v>74</v>
      </c>
      <c r="U465" t="s">
        <v>6766</v>
      </c>
      <c r="V465" t="s">
        <v>6767</v>
      </c>
      <c r="W465" t="s">
        <v>6742</v>
      </c>
      <c r="X465" t="s">
        <v>6743</v>
      </c>
      <c r="Y465" t="s">
        <v>6753</v>
      </c>
      <c r="Z465" t="s">
        <v>3271</v>
      </c>
      <c r="AA465" t="s">
        <v>74</v>
      </c>
      <c r="AB465" t="s">
        <v>74</v>
      </c>
      <c r="AC465" t="s">
        <v>74</v>
      </c>
      <c r="AD465" t="s">
        <v>74</v>
      </c>
      <c r="AE465" t="s">
        <v>74</v>
      </c>
      <c r="AF465" t="s">
        <v>74</v>
      </c>
      <c r="AG465">
        <v>87</v>
      </c>
      <c r="AH465">
        <v>32</v>
      </c>
      <c r="AI465">
        <v>41</v>
      </c>
      <c r="AJ465">
        <v>0</v>
      </c>
      <c r="AK465">
        <v>21</v>
      </c>
      <c r="AL465" t="s">
        <v>213</v>
      </c>
      <c r="AM465" t="s">
        <v>214</v>
      </c>
      <c r="AN465" t="s">
        <v>215</v>
      </c>
      <c r="AO465" t="s">
        <v>6083</v>
      </c>
      <c r="AP465" t="s">
        <v>6084</v>
      </c>
      <c r="AQ465" t="s">
        <v>74</v>
      </c>
      <c r="AR465" t="s">
        <v>6085</v>
      </c>
      <c r="AS465" t="s">
        <v>6086</v>
      </c>
      <c r="AT465" t="s">
        <v>74</v>
      </c>
      <c r="AU465">
        <v>2004</v>
      </c>
      <c r="AV465">
        <v>51</v>
      </c>
      <c r="AW465" t="s">
        <v>6724</v>
      </c>
      <c r="AX465" t="s">
        <v>74</v>
      </c>
      <c r="AY465" t="s">
        <v>74</v>
      </c>
      <c r="AZ465" t="s">
        <v>74</v>
      </c>
      <c r="BA465" t="s">
        <v>74</v>
      </c>
      <c r="BB465">
        <v>2645</v>
      </c>
      <c r="BC465">
        <v>2660</v>
      </c>
      <c r="BD465" t="s">
        <v>74</v>
      </c>
      <c r="BE465" t="s">
        <v>6768</v>
      </c>
      <c r="BF465" t="str">
        <f>HYPERLINK("http://dx.doi.org/10.1016/j.dsr2.2001.03.001","http://dx.doi.org/10.1016/j.dsr2.2001.03.001")</f>
        <v>http://dx.doi.org/10.1016/j.dsr2.2001.03.001</v>
      </c>
      <c r="BG465" t="s">
        <v>74</v>
      </c>
      <c r="BH465" t="s">
        <v>74</v>
      </c>
      <c r="BI465">
        <v>16</v>
      </c>
      <c r="BJ465" t="s">
        <v>477</v>
      </c>
      <c r="BK465" t="s">
        <v>96</v>
      </c>
      <c r="BL465" t="s">
        <v>477</v>
      </c>
      <c r="BM465" t="s">
        <v>6726</v>
      </c>
      <c r="BN465" t="s">
        <v>74</v>
      </c>
      <c r="BO465" t="s">
        <v>74</v>
      </c>
      <c r="BP465" t="s">
        <v>74</v>
      </c>
      <c r="BQ465" t="s">
        <v>74</v>
      </c>
      <c r="BR465" t="s">
        <v>99</v>
      </c>
      <c r="BS465" t="s">
        <v>6769</v>
      </c>
      <c r="BT465" t="str">
        <f>HYPERLINK("https%3A%2F%2Fwww.webofscience.com%2Fwos%2Fwoscc%2Ffull-record%2FWOS:000226056900008","View Full Record in Web of Science")</f>
        <v>View Full Record in Web of Science</v>
      </c>
    </row>
    <row r="466" spans="1:72" x14ac:dyDescent="0.15">
      <c r="A466" t="s">
        <v>72</v>
      </c>
      <c r="B466" t="s">
        <v>6770</v>
      </c>
      <c r="C466" t="s">
        <v>74</v>
      </c>
      <c r="D466" t="s">
        <v>74</v>
      </c>
      <c r="E466" t="s">
        <v>74</v>
      </c>
      <c r="F466" t="s">
        <v>6770</v>
      </c>
      <c r="G466" t="s">
        <v>74</v>
      </c>
      <c r="H466" t="s">
        <v>74</v>
      </c>
      <c r="I466" t="s">
        <v>6771</v>
      </c>
      <c r="J466" t="s">
        <v>6078</v>
      </c>
      <c r="K466" t="s">
        <v>74</v>
      </c>
      <c r="L466" t="s">
        <v>74</v>
      </c>
      <c r="M466" t="s">
        <v>77</v>
      </c>
      <c r="N466" t="s">
        <v>78</v>
      </c>
      <c r="O466" t="s">
        <v>74</v>
      </c>
      <c r="P466" t="s">
        <v>74</v>
      </c>
      <c r="Q466" t="s">
        <v>74</v>
      </c>
      <c r="R466" t="s">
        <v>74</v>
      </c>
      <c r="S466" t="s">
        <v>74</v>
      </c>
      <c r="T466" t="s">
        <v>74</v>
      </c>
      <c r="U466" t="s">
        <v>6772</v>
      </c>
      <c r="V466" t="s">
        <v>6773</v>
      </c>
      <c r="W466" t="s">
        <v>6774</v>
      </c>
      <c r="X466" t="s">
        <v>6775</v>
      </c>
      <c r="Y466" t="s">
        <v>6776</v>
      </c>
      <c r="Z466" t="s">
        <v>6777</v>
      </c>
      <c r="AA466" t="s">
        <v>6778</v>
      </c>
      <c r="AB466" t="s">
        <v>74</v>
      </c>
      <c r="AC466" t="s">
        <v>74</v>
      </c>
      <c r="AD466" t="s">
        <v>74</v>
      </c>
      <c r="AE466" t="s">
        <v>74</v>
      </c>
      <c r="AF466" t="s">
        <v>74</v>
      </c>
      <c r="AG466">
        <v>48</v>
      </c>
      <c r="AH466">
        <v>32</v>
      </c>
      <c r="AI466">
        <v>33</v>
      </c>
      <c r="AJ466">
        <v>0</v>
      </c>
      <c r="AK466">
        <v>18</v>
      </c>
      <c r="AL466" t="s">
        <v>213</v>
      </c>
      <c r="AM466" t="s">
        <v>214</v>
      </c>
      <c r="AN466" t="s">
        <v>215</v>
      </c>
      <c r="AO466" t="s">
        <v>6083</v>
      </c>
      <c r="AP466" t="s">
        <v>6084</v>
      </c>
      <c r="AQ466" t="s">
        <v>74</v>
      </c>
      <c r="AR466" t="s">
        <v>6085</v>
      </c>
      <c r="AS466" t="s">
        <v>6086</v>
      </c>
      <c r="AT466" t="s">
        <v>74</v>
      </c>
      <c r="AU466">
        <v>2004</v>
      </c>
      <c r="AV466">
        <v>51</v>
      </c>
      <c r="AW466" t="s">
        <v>6724</v>
      </c>
      <c r="AX466" t="s">
        <v>74</v>
      </c>
      <c r="AY466" t="s">
        <v>74</v>
      </c>
      <c r="AZ466" t="s">
        <v>74</v>
      </c>
      <c r="BA466" t="s">
        <v>74</v>
      </c>
      <c r="BB466">
        <v>2683</v>
      </c>
      <c r="BC466">
        <v>2699</v>
      </c>
      <c r="BD466" t="s">
        <v>74</v>
      </c>
      <c r="BE466" t="s">
        <v>6779</v>
      </c>
      <c r="BF466" t="str">
        <f>HYPERLINK("http://dx.doi.org/10.1016/j.dsr2.2001.02.001","http://dx.doi.org/10.1016/j.dsr2.2001.02.001")</f>
        <v>http://dx.doi.org/10.1016/j.dsr2.2001.02.001</v>
      </c>
      <c r="BG466" t="s">
        <v>74</v>
      </c>
      <c r="BH466" t="s">
        <v>74</v>
      </c>
      <c r="BI466">
        <v>17</v>
      </c>
      <c r="BJ466" t="s">
        <v>477</v>
      </c>
      <c r="BK466" t="s">
        <v>96</v>
      </c>
      <c r="BL466" t="s">
        <v>477</v>
      </c>
      <c r="BM466" t="s">
        <v>6726</v>
      </c>
      <c r="BN466" t="s">
        <v>74</v>
      </c>
      <c r="BO466" t="s">
        <v>74</v>
      </c>
      <c r="BP466" t="s">
        <v>74</v>
      </c>
      <c r="BQ466" t="s">
        <v>74</v>
      </c>
      <c r="BR466" t="s">
        <v>99</v>
      </c>
      <c r="BS466" t="s">
        <v>6780</v>
      </c>
      <c r="BT466" t="str">
        <f>HYPERLINK("https%3A%2F%2Fwww.webofscience.com%2Fwos%2Fwoscc%2Ffull-record%2FWOS:000226056900011","View Full Record in Web of Science")</f>
        <v>View Full Record in Web of Science</v>
      </c>
    </row>
    <row r="467" spans="1:72" x14ac:dyDescent="0.15">
      <c r="A467" t="s">
        <v>72</v>
      </c>
      <c r="B467" t="s">
        <v>6781</v>
      </c>
      <c r="C467" t="s">
        <v>74</v>
      </c>
      <c r="D467" t="s">
        <v>74</v>
      </c>
      <c r="E467" t="s">
        <v>74</v>
      </c>
      <c r="F467" t="s">
        <v>6781</v>
      </c>
      <c r="G467" t="s">
        <v>74</v>
      </c>
      <c r="H467" t="s">
        <v>74</v>
      </c>
      <c r="I467" t="s">
        <v>6782</v>
      </c>
      <c r="J467" t="s">
        <v>6078</v>
      </c>
      <c r="K467" t="s">
        <v>74</v>
      </c>
      <c r="L467" t="s">
        <v>74</v>
      </c>
      <c r="M467" t="s">
        <v>77</v>
      </c>
      <c r="N467" t="s">
        <v>78</v>
      </c>
      <c r="O467" t="s">
        <v>74</v>
      </c>
      <c r="P467" t="s">
        <v>74</v>
      </c>
      <c r="Q467" t="s">
        <v>74</v>
      </c>
      <c r="R467" t="s">
        <v>74</v>
      </c>
      <c r="S467" t="s">
        <v>74</v>
      </c>
      <c r="T467" t="s">
        <v>74</v>
      </c>
      <c r="U467" t="s">
        <v>6783</v>
      </c>
      <c r="V467" t="s">
        <v>6784</v>
      </c>
      <c r="W467" t="s">
        <v>6785</v>
      </c>
      <c r="X467" t="s">
        <v>6786</v>
      </c>
      <c r="Y467" t="s">
        <v>6787</v>
      </c>
      <c r="Z467" t="s">
        <v>6788</v>
      </c>
      <c r="AA467" t="s">
        <v>74</v>
      </c>
      <c r="AB467" t="s">
        <v>74</v>
      </c>
      <c r="AC467" t="s">
        <v>74</v>
      </c>
      <c r="AD467" t="s">
        <v>74</v>
      </c>
      <c r="AE467" t="s">
        <v>74</v>
      </c>
      <c r="AF467" t="s">
        <v>74</v>
      </c>
      <c r="AG467">
        <v>29</v>
      </c>
      <c r="AH467">
        <v>17</v>
      </c>
      <c r="AI467">
        <v>17</v>
      </c>
      <c r="AJ467">
        <v>1</v>
      </c>
      <c r="AK467">
        <v>6</v>
      </c>
      <c r="AL467" t="s">
        <v>213</v>
      </c>
      <c r="AM467" t="s">
        <v>214</v>
      </c>
      <c r="AN467" t="s">
        <v>215</v>
      </c>
      <c r="AO467" t="s">
        <v>6083</v>
      </c>
      <c r="AP467" t="s">
        <v>74</v>
      </c>
      <c r="AQ467" t="s">
        <v>74</v>
      </c>
      <c r="AR467" t="s">
        <v>6085</v>
      </c>
      <c r="AS467" t="s">
        <v>6086</v>
      </c>
      <c r="AT467" t="s">
        <v>74</v>
      </c>
      <c r="AU467">
        <v>2004</v>
      </c>
      <c r="AV467">
        <v>51</v>
      </c>
      <c r="AW467" t="s">
        <v>6724</v>
      </c>
      <c r="AX467" t="s">
        <v>74</v>
      </c>
      <c r="AY467" t="s">
        <v>74</v>
      </c>
      <c r="AZ467" t="s">
        <v>74</v>
      </c>
      <c r="BA467" t="s">
        <v>74</v>
      </c>
      <c r="BB467">
        <v>2701</v>
      </c>
      <c r="BC467">
        <v>2713</v>
      </c>
      <c r="BD467" t="s">
        <v>74</v>
      </c>
      <c r="BE467" t="s">
        <v>6789</v>
      </c>
      <c r="BF467" t="str">
        <f>HYPERLINK("http://dx.doi.org/10.1016/j.dsr2.2001.01.002","http://dx.doi.org/10.1016/j.dsr2.2001.01.002")</f>
        <v>http://dx.doi.org/10.1016/j.dsr2.2001.01.002</v>
      </c>
      <c r="BG467" t="s">
        <v>74</v>
      </c>
      <c r="BH467" t="s">
        <v>74</v>
      </c>
      <c r="BI467">
        <v>13</v>
      </c>
      <c r="BJ467" t="s">
        <v>477</v>
      </c>
      <c r="BK467" t="s">
        <v>96</v>
      </c>
      <c r="BL467" t="s">
        <v>477</v>
      </c>
      <c r="BM467" t="s">
        <v>6726</v>
      </c>
      <c r="BN467" t="s">
        <v>74</v>
      </c>
      <c r="BO467" t="s">
        <v>74</v>
      </c>
      <c r="BP467" t="s">
        <v>74</v>
      </c>
      <c r="BQ467" t="s">
        <v>74</v>
      </c>
      <c r="BR467" t="s">
        <v>99</v>
      </c>
      <c r="BS467" t="s">
        <v>6790</v>
      </c>
      <c r="BT467" t="str">
        <f>HYPERLINK("https%3A%2F%2Fwww.webofscience.com%2Fwos%2Fwoscc%2Ffull-record%2FWOS:000226056900012","View Full Record in Web of Science")</f>
        <v>View Full Record in Web of Science</v>
      </c>
    </row>
    <row r="468" spans="1:72" x14ac:dyDescent="0.15">
      <c r="A468" t="s">
        <v>72</v>
      </c>
      <c r="B468" t="s">
        <v>6791</v>
      </c>
      <c r="C468" t="s">
        <v>74</v>
      </c>
      <c r="D468" t="s">
        <v>74</v>
      </c>
      <c r="E468" t="s">
        <v>74</v>
      </c>
      <c r="F468" t="s">
        <v>6791</v>
      </c>
      <c r="G468" t="s">
        <v>74</v>
      </c>
      <c r="H468" t="s">
        <v>74</v>
      </c>
      <c r="I468" t="s">
        <v>6792</v>
      </c>
      <c r="J468" t="s">
        <v>6078</v>
      </c>
      <c r="K468" t="s">
        <v>74</v>
      </c>
      <c r="L468" t="s">
        <v>74</v>
      </c>
      <c r="M468" t="s">
        <v>77</v>
      </c>
      <c r="N468" t="s">
        <v>78</v>
      </c>
      <c r="O468" t="s">
        <v>74</v>
      </c>
      <c r="P468" t="s">
        <v>74</v>
      </c>
      <c r="Q468" t="s">
        <v>74</v>
      </c>
      <c r="R468" t="s">
        <v>74</v>
      </c>
      <c r="S468" t="s">
        <v>74</v>
      </c>
      <c r="T468" t="s">
        <v>74</v>
      </c>
      <c r="U468" t="s">
        <v>6793</v>
      </c>
      <c r="V468" t="s">
        <v>6794</v>
      </c>
      <c r="W468" t="s">
        <v>6795</v>
      </c>
      <c r="X468" t="s">
        <v>6752</v>
      </c>
      <c r="Y468" t="s">
        <v>6796</v>
      </c>
      <c r="Z468" t="s">
        <v>6761</v>
      </c>
      <c r="AA468" t="s">
        <v>6744</v>
      </c>
      <c r="AB468" t="s">
        <v>6745</v>
      </c>
      <c r="AC468" t="s">
        <v>74</v>
      </c>
      <c r="AD468" t="s">
        <v>74</v>
      </c>
      <c r="AE468" t="s">
        <v>74</v>
      </c>
      <c r="AF468" t="s">
        <v>74</v>
      </c>
      <c r="AG468">
        <v>60</v>
      </c>
      <c r="AH468">
        <v>35</v>
      </c>
      <c r="AI468">
        <v>39</v>
      </c>
      <c r="AJ468">
        <v>0</v>
      </c>
      <c r="AK468">
        <v>19</v>
      </c>
      <c r="AL468" t="s">
        <v>213</v>
      </c>
      <c r="AM468" t="s">
        <v>214</v>
      </c>
      <c r="AN468" t="s">
        <v>215</v>
      </c>
      <c r="AO468" t="s">
        <v>6083</v>
      </c>
      <c r="AP468" t="s">
        <v>74</v>
      </c>
      <c r="AQ468" t="s">
        <v>74</v>
      </c>
      <c r="AR468" t="s">
        <v>6085</v>
      </c>
      <c r="AS468" t="s">
        <v>6086</v>
      </c>
      <c r="AT468" t="s">
        <v>74</v>
      </c>
      <c r="AU468">
        <v>2004</v>
      </c>
      <c r="AV468">
        <v>51</v>
      </c>
      <c r="AW468" t="s">
        <v>6724</v>
      </c>
      <c r="AX468" t="s">
        <v>74</v>
      </c>
      <c r="AY468" t="s">
        <v>74</v>
      </c>
      <c r="AZ468" t="s">
        <v>74</v>
      </c>
      <c r="BA468" t="s">
        <v>74</v>
      </c>
      <c r="BB468">
        <v>2715</v>
      </c>
      <c r="BC468">
        <v>2729</v>
      </c>
      <c r="BD468" t="s">
        <v>74</v>
      </c>
      <c r="BE468" t="s">
        <v>6797</v>
      </c>
      <c r="BF468" t="str">
        <f>HYPERLINK("http://dx.doi.org/10.1016/j.dsr2.2002.09.001","http://dx.doi.org/10.1016/j.dsr2.2002.09.001")</f>
        <v>http://dx.doi.org/10.1016/j.dsr2.2002.09.001</v>
      </c>
      <c r="BG468" t="s">
        <v>74</v>
      </c>
      <c r="BH468" t="s">
        <v>74</v>
      </c>
      <c r="BI468">
        <v>15</v>
      </c>
      <c r="BJ468" t="s">
        <v>477</v>
      </c>
      <c r="BK468" t="s">
        <v>96</v>
      </c>
      <c r="BL468" t="s">
        <v>477</v>
      </c>
      <c r="BM468" t="s">
        <v>6726</v>
      </c>
      <c r="BN468" t="s">
        <v>74</v>
      </c>
      <c r="BO468" t="s">
        <v>74</v>
      </c>
      <c r="BP468" t="s">
        <v>74</v>
      </c>
      <c r="BQ468" t="s">
        <v>74</v>
      </c>
      <c r="BR468" t="s">
        <v>99</v>
      </c>
      <c r="BS468" t="s">
        <v>6798</v>
      </c>
      <c r="BT468" t="str">
        <f>HYPERLINK("https%3A%2F%2Fwww.webofscience.com%2Fwos%2Fwoscc%2Ffull-record%2FWOS:000226056900013","View Full Record in Web of Science")</f>
        <v>View Full Record in Web of Science</v>
      </c>
    </row>
    <row r="469" spans="1:72" x14ac:dyDescent="0.15">
      <c r="A469" t="s">
        <v>72</v>
      </c>
      <c r="B469" t="s">
        <v>6799</v>
      </c>
      <c r="C469" t="s">
        <v>74</v>
      </c>
      <c r="D469" t="s">
        <v>74</v>
      </c>
      <c r="E469" t="s">
        <v>74</v>
      </c>
      <c r="F469" t="s">
        <v>6799</v>
      </c>
      <c r="G469" t="s">
        <v>74</v>
      </c>
      <c r="H469" t="s">
        <v>74</v>
      </c>
      <c r="I469" t="s">
        <v>6800</v>
      </c>
      <c r="J469" t="s">
        <v>6078</v>
      </c>
      <c r="K469" t="s">
        <v>74</v>
      </c>
      <c r="L469" t="s">
        <v>74</v>
      </c>
      <c r="M469" t="s">
        <v>77</v>
      </c>
      <c r="N469" t="s">
        <v>78</v>
      </c>
      <c r="O469" t="s">
        <v>74</v>
      </c>
      <c r="P469" t="s">
        <v>74</v>
      </c>
      <c r="Q469" t="s">
        <v>74</v>
      </c>
      <c r="R469" t="s">
        <v>74</v>
      </c>
      <c r="S469" t="s">
        <v>74</v>
      </c>
      <c r="T469" t="s">
        <v>74</v>
      </c>
      <c r="U469" t="s">
        <v>6801</v>
      </c>
      <c r="V469" t="s">
        <v>6802</v>
      </c>
      <c r="W469" t="s">
        <v>6803</v>
      </c>
      <c r="X469" t="s">
        <v>6786</v>
      </c>
      <c r="Y469" t="s">
        <v>74</v>
      </c>
      <c r="Z469" t="s">
        <v>6804</v>
      </c>
      <c r="AA469" t="s">
        <v>74</v>
      </c>
      <c r="AB469" t="s">
        <v>74</v>
      </c>
      <c r="AC469" t="s">
        <v>74</v>
      </c>
      <c r="AD469" t="s">
        <v>74</v>
      </c>
      <c r="AE469" t="s">
        <v>74</v>
      </c>
      <c r="AF469" t="s">
        <v>74</v>
      </c>
      <c r="AG469">
        <v>28</v>
      </c>
      <c r="AH469">
        <v>2</v>
      </c>
      <c r="AI469">
        <v>2</v>
      </c>
      <c r="AJ469">
        <v>0</v>
      </c>
      <c r="AK469">
        <v>6</v>
      </c>
      <c r="AL469" t="s">
        <v>213</v>
      </c>
      <c r="AM469" t="s">
        <v>214</v>
      </c>
      <c r="AN469" t="s">
        <v>215</v>
      </c>
      <c r="AO469" t="s">
        <v>6083</v>
      </c>
      <c r="AP469" t="s">
        <v>6084</v>
      </c>
      <c r="AQ469" t="s">
        <v>74</v>
      </c>
      <c r="AR469" t="s">
        <v>6085</v>
      </c>
      <c r="AS469" t="s">
        <v>6086</v>
      </c>
      <c r="AT469" t="s">
        <v>74</v>
      </c>
      <c r="AU469">
        <v>2004</v>
      </c>
      <c r="AV469">
        <v>51</v>
      </c>
      <c r="AW469" t="s">
        <v>6724</v>
      </c>
      <c r="AX469" t="s">
        <v>74</v>
      </c>
      <c r="AY469" t="s">
        <v>74</v>
      </c>
      <c r="AZ469" t="s">
        <v>74</v>
      </c>
      <c r="BA469" t="s">
        <v>74</v>
      </c>
      <c r="BB469">
        <v>2731</v>
      </c>
      <c r="BC469">
        <v>2744</v>
      </c>
      <c r="BD469" t="s">
        <v>74</v>
      </c>
      <c r="BE469" t="s">
        <v>6805</v>
      </c>
      <c r="BF469" t="str">
        <f>HYPERLINK("http://dx.doi.org/10.1016/j.dsr2.2001.05.001","http://dx.doi.org/10.1016/j.dsr2.2001.05.001")</f>
        <v>http://dx.doi.org/10.1016/j.dsr2.2001.05.001</v>
      </c>
      <c r="BG469" t="s">
        <v>74</v>
      </c>
      <c r="BH469" t="s">
        <v>74</v>
      </c>
      <c r="BI469">
        <v>14</v>
      </c>
      <c r="BJ469" t="s">
        <v>477</v>
      </c>
      <c r="BK469" t="s">
        <v>96</v>
      </c>
      <c r="BL469" t="s">
        <v>477</v>
      </c>
      <c r="BM469" t="s">
        <v>6726</v>
      </c>
      <c r="BN469" t="s">
        <v>74</v>
      </c>
      <c r="BO469" t="s">
        <v>74</v>
      </c>
      <c r="BP469" t="s">
        <v>74</v>
      </c>
      <c r="BQ469" t="s">
        <v>74</v>
      </c>
      <c r="BR469" t="s">
        <v>99</v>
      </c>
      <c r="BS469" t="s">
        <v>6806</v>
      </c>
      <c r="BT469" t="str">
        <f>HYPERLINK("https%3A%2F%2Fwww.webofscience.com%2Fwos%2Fwoscc%2Ffull-record%2FWOS:000226056900014","View Full Record in Web of Science")</f>
        <v>View Full Record in Web of Science</v>
      </c>
    </row>
    <row r="470" spans="1:72" x14ac:dyDescent="0.15">
      <c r="A470" t="s">
        <v>72</v>
      </c>
      <c r="B470" t="s">
        <v>6807</v>
      </c>
      <c r="C470" t="s">
        <v>74</v>
      </c>
      <c r="D470" t="s">
        <v>74</v>
      </c>
      <c r="E470" t="s">
        <v>74</v>
      </c>
      <c r="F470" t="s">
        <v>6807</v>
      </c>
      <c r="G470" t="s">
        <v>74</v>
      </c>
      <c r="H470" t="s">
        <v>74</v>
      </c>
      <c r="I470" t="s">
        <v>6808</v>
      </c>
      <c r="J470" t="s">
        <v>6078</v>
      </c>
      <c r="K470" t="s">
        <v>74</v>
      </c>
      <c r="L470" t="s">
        <v>74</v>
      </c>
      <c r="M470" t="s">
        <v>77</v>
      </c>
      <c r="N470" t="s">
        <v>78</v>
      </c>
      <c r="O470" t="s">
        <v>74</v>
      </c>
      <c r="P470" t="s">
        <v>74</v>
      </c>
      <c r="Q470" t="s">
        <v>74</v>
      </c>
      <c r="R470" t="s">
        <v>74</v>
      </c>
      <c r="S470" t="s">
        <v>74</v>
      </c>
      <c r="T470" t="s">
        <v>74</v>
      </c>
      <c r="U470" t="s">
        <v>6809</v>
      </c>
      <c r="V470" t="s">
        <v>6810</v>
      </c>
      <c r="W470" t="s">
        <v>6811</v>
      </c>
      <c r="X470" t="s">
        <v>6812</v>
      </c>
      <c r="Y470" t="s">
        <v>6813</v>
      </c>
      <c r="Z470" t="s">
        <v>6814</v>
      </c>
      <c r="AA470" t="s">
        <v>6815</v>
      </c>
      <c r="AB470" t="s">
        <v>6745</v>
      </c>
      <c r="AC470" t="s">
        <v>74</v>
      </c>
      <c r="AD470" t="s">
        <v>74</v>
      </c>
      <c r="AE470" t="s">
        <v>74</v>
      </c>
      <c r="AF470" t="s">
        <v>74</v>
      </c>
      <c r="AG470">
        <v>36</v>
      </c>
      <c r="AH470">
        <v>20</v>
      </c>
      <c r="AI470">
        <v>28</v>
      </c>
      <c r="AJ470">
        <v>1</v>
      </c>
      <c r="AK470">
        <v>7</v>
      </c>
      <c r="AL470" t="s">
        <v>213</v>
      </c>
      <c r="AM470" t="s">
        <v>214</v>
      </c>
      <c r="AN470" t="s">
        <v>215</v>
      </c>
      <c r="AO470" t="s">
        <v>6083</v>
      </c>
      <c r="AP470" t="s">
        <v>6084</v>
      </c>
      <c r="AQ470" t="s">
        <v>74</v>
      </c>
      <c r="AR470" t="s">
        <v>6085</v>
      </c>
      <c r="AS470" t="s">
        <v>6086</v>
      </c>
      <c r="AT470" t="s">
        <v>74</v>
      </c>
      <c r="AU470">
        <v>2004</v>
      </c>
      <c r="AV470">
        <v>51</v>
      </c>
      <c r="AW470" t="s">
        <v>6724</v>
      </c>
      <c r="AX470" t="s">
        <v>74</v>
      </c>
      <c r="AY470" t="s">
        <v>74</v>
      </c>
      <c r="AZ470" t="s">
        <v>74</v>
      </c>
      <c r="BA470" t="s">
        <v>74</v>
      </c>
      <c r="BB470">
        <v>2745</v>
      </c>
      <c r="BC470">
        <v>2756</v>
      </c>
      <c r="BD470" t="s">
        <v>74</v>
      </c>
      <c r="BE470" t="s">
        <v>6816</v>
      </c>
      <c r="BF470" t="str">
        <f>HYPERLINK("http://dx.doi.org/10.1016/j.dsr2.2004.09.004","http://dx.doi.org/10.1016/j.dsr2.2004.09.004")</f>
        <v>http://dx.doi.org/10.1016/j.dsr2.2004.09.004</v>
      </c>
      <c r="BG470" t="s">
        <v>74</v>
      </c>
      <c r="BH470" t="s">
        <v>74</v>
      </c>
      <c r="BI470">
        <v>12</v>
      </c>
      <c r="BJ470" t="s">
        <v>477</v>
      </c>
      <c r="BK470" t="s">
        <v>96</v>
      </c>
      <c r="BL470" t="s">
        <v>477</v>
      </c>
      <c r="BM470" t="s">
        <v>6726</v>
      </c>
      <c r="BN470" t="s">
        <v>74</v>
      </c>
      <c r="BO470" t="s">
        <v>74</v>
      </c>
      <c r="BP470" t="s">
        <v>74</v>
      </c>
      <c r="BQ470" t="s">
        <v>74</v>
      </c>
      <c r="BR470" t="s">
        <v>99</v>
      </c>
      <c r="BS470" t="s">
        <v>6817</v>
      </c>
      <c r="BT470" t="str">
        <f>HYPERLINK("https%3A%2F%2Fwww.webofscience.com%2Fwos%2Fwoscc%2Ffull-record%2FWOS:000226056900015","View Full Record in Web of Science")</f>
        <v>View Full Record in Web of Science</v>
      </c>
    </row>
    <row r="471" spans="1:72" x14ac:dyDescent="0.15">
      <c r="A471" t="s">
        <v>72</v>
      </c>
      <c r="B471" t="s">
        <v>6818</v>
      </c>
      <c r="C471" t="s">
        <v>74</v>
      </c>
      <c r="D471" t="s">
        <v>74</v>
      </c>
      <c r="E471" t="s">
        <v>74</v>
      </c>
      <c r="F471" t="s">
        <v>6818</v>
      </c>
      <c r="G471" t="s">
        <v>74</v>
      </c>
      <c r="H471" t="s">
        <v>74</v>
      </c>
      <c r="I471" t="s">
        <v>6819</v>
      </c>
      <c r="J471" t="s">
        <v>6078</v>
      </c>
      <c r="K471" t="s">
        <v>74</v>
      </c>
      <c r="L471" t="s">
        <v>74</v>
      </c>
      <c r="M471" t="s">
        <v>77</v>
      </c>
      <c r="N471" t="s">
        <v>78</v>
      </c>
      <c r="O471" t="s">
        <v>74</v>
      </c>
      <c r="P471" t="s">
        <v>74</v>
      </c>
      <c r="Q471" t="s">
        <v>74</v>
      </c>
      <c r="R471" t="s">
        <v>74</v>
      </c>
      <c r="S471" t="s">
        <v>74</v>
      </c>
      <c r="T471" t="s">
        <v>74</v>
      </c>
      <c r="U471" t="s">
        <v>6820</v>
      </c>
      <c r="V471" t="s">
        <v>6821</v>
      </c>
      <c r="W471" t="s">
        <v>6822</v>
      </c>
      <c r="X471" t="s">
        <v>6823</v>
      </c>
      <c r="Y471" t="s">
        <v>6824</v>
      </c>
      <c r="Z471" t="s">
        <v>6825</v>
      </c>
      <c r="AA471" t="s">
        <v>6826</v>
      </c>
      <c r="AB471" t="s">
        <v>74</v>
      </c>
      <c r="AC471" t="s">
        <v>74</v>
      </c>
      <c r="AD471" t="s">
        <v>74</v>
      </c>
      <c r="AE471" t="s">
        <v>74</v>
      </c>
      <c r="AF471" t="s">
        <v>74</v>
      </c>
      <c r="AG471">
        <v>62</v>
      </c>
      <c r="AH471">
        <v>11</v>
      </c>
      <c r="AI471">
        <v>11</v>
      </c>
      <c r="AJ471">
        <v>1</v>
      </c>
      <c r="AK471">
        <v>6</v>
      </c>
      <c r="AL471" t="s">
        <v>213</v>
      </c>
      <c r="AM471" t="s">
        <v>214</v>
      </c>
      <c r="AN471" t="s">
        <v>215</v>
      </c>
      <c r="AO471" t="s">
        <v>6083</v>
      </c>
      <c r="AP471" t="s">
        <v>74</v>
      </c>
      <c r="AQ471" t="s">
        <v>74</v>
      </c>
      <c r="AR471" t="s">
        <v>6085</v>
      </c>
      <c r="AS471" t="s">
        <v>6086</v>
      </c>
      <c r="AT471" t="s">
        <v>74</v>
      </c>
      <c r="AU471">
        <v>2004</v>
      </c>
      <c r="AV471">
        <v>51</v>
      </c>
      <c r="AW471" t="s">
        <v>6724</v>
      </c>
      <c r="AX471" t="s">
        <v>74</v>
      </c>
      <c r="AY471" t="s">
        <v>74</v>
      </c>
      <c r="AZ471" t="s">
        <v>74</v>
      </c>
      <c r="BA471" t="s">
        <v>74</v>
      </c>
      <c r="BB471">
        <v>2757</v>
      </c>
      <c r="BC471">
        <v>2772</v>
      </c>
      <c r="BD471" t="s">
        <v>74</v>
      </c>
      <c r="BE471" t="s">
        <v>6827</v>
      </c>
      <c r="BF471" t="str">
        <f>HYPERLINK("http://dx.doi.org/10.1016/j.dsr2.2001.12.001","http://dx.doi.org/10.1016/j.dsr2.2001.12.001")</f>
        <v>http://dx.doi.org/10.1016/j.dsr2.2001.12.001</v>
      </c>
      <c r="BG471" t="s">
        <v>74</v>
      </c>
      <c r="BH471" t="s">
        <v>74</v>
      </c>
      <c r="BI471">
        <v>16</v>
      </c>
      <c r="BJ471" t="s">
        <v>477</v>
      </c>
      <c r="BK471" t="s">
        <v>96</v>
      </c>
      <c r="BL471" t="s">
        <v>477</v>
      </c>
      <c r="BM471" t="s">
        <v>6726</v>
      </c>
      <c r="BN471" t="s">
        <v>74</v>
      </c>
      <c r="BO471" t="s">
        <v>74</v>
      </c>
      <c r="BP471" t="s">
        <v>74</v>
      </c>
      <c r="BQ471" t="s">
        <v>74</v>
      </c>
      <c r="BR471" t="s">
        <v>99</v>
      </c>
      <c r="BS471" t="s">
        <v>6828</v>
      </c>
      <c r="BT471" t="str">
        <f>HYPERLINK("https%3A%2F%2Fwww.webofscience.com%2Fwos%2Fwoscc%2Ffull-record%2FWOS:000226056900016","View Full Record in Web of Science")</f>
        <v>View Full Record in Web of Science</v>
      </c>
    </row>
    <row r="472" spans="1:72" x14ac:dyDescent="0.15">
      <c r="A472" t="s">
        <v>72</v>
      </c>
      <c r="B472" t="s">
        <v>6829</v>
      </c>
      <c r="C472" t="s">
        <v>74</v>
      </c>
      <c r="D472" t="s">
        <v>74</v>
      </c>
      <c r="E472" t="s">
        <v>74</v>
      </c>
      <c r="F472" t="s">
        <v>6829</v>
      </c>
      <c r="G472" t="s">
        <v>74</v>
      </c>
      <c r="H472" t="s">
        <v>74</v>
      </c>
      <c r="I472" t="s">
        <v>6830</v>
      </c>
      <c r="J472" t="s">
        <v>6078</v>
      </c>
      <c r="K472" t="s">
        <v>74</v>
      </c>
      <c r="L472" t="s">
        <v>74</v>
      </c>
      <c r="M472" t="s">
        <v>77</v>
      </c>
      <c r="N472" t="s">
        <v>78</v>
      </c>
      <c r="O472" t="s">
        <v>74</v>
      </c>
      <c r="P472" t="s">
        <v>74</v>
      </c>
      <c r="Q472" t="s">
        <v>74</v>
      </c>
      <c r="R472" t="s">
        <v>74</v>
      </c>
      <c r="S472" t="s">
        <v>74</v>
      </c>
      <c r="T472" t="s">
        <v>74</v>
      </c>
      <c r="U472" t="s">
        <v>6831</v>
      </c>
      <c r="V472" t="s">
        <v>6832</v>
      </c>
      <c r="W472" t="s">
        <v>6833</v>
      </c>
      <c r="X472" t="s">
        <v>6834</v>
      </c>
      <c r="Y472" t="s">
        <v>6835</v>
      </c>
      <c r="Z472" t="s">
        <v>6836</v>
      </c>
      <c r="AA472" t="s">
        <v>6837</v>
      </c>
      <c r="AB472" t="s">
        <v>6838</v>
      </c>
      <c r="AC472" t="s">
        <v>74</v>
      </c>
      <c r="AD472" t="s">
        <v>74</v>
      </c>
      <c r="AE472" t="s">
        <v>74</v>
      </c>
      <c r="AF472" t="s">
        <v>74</v>
      </c>
      <c r="AG472">
        <v>43</v>
      </c>
      <c r="AH472">
        <v>25</v>
      </c>
      <c r="AI472">
        <v>27</v>
      </c>
      <c r="AJ472">
        <v>1</v>
      </c>
      <c r="AK472">
        <v>13</v>
      </c>
      <c r="AL472" t="s">
        <v>213</v>
      </c>
      <c r="AM472" t="s">
        <v>214</v>
      </c>
      <c r="AN472" t="s">
        <v>215</v>
      </c>
      <c r="AO472" t="s">
        <v>6083</v>
      </c>
      <c r="AP472" t="s">
        <v>74</v>
      </c>
      <c r="AQ472" t="s">
        <v>74</v>
      </c>
      <c r="AR472" t="s">
        <v>6085</v>
      </c>
      <c r="AS472" t="s">
        <v>6086</v>
      </c>
      <c r="AT472" t="s">
        <v>74</v>
      </c>
      <c r="AU472">
        <v>2004</v>
      </c>
      <c r="AV472">
        <v>51</v>
      </c>
      <c r="AW472" t="s">
        <v>6724</v>
      </c>
      <c r="AX472" t="s">
        <v>74</v>
      </c>
      <c r="AY472" t="s">
        <v>74</v>
      </c>
      <c r="AZ472" t="s">
        <v>74</v>
      </c>
      <c r="BA472" t="s">
        <v>74</v>
      </c>
      <c r="BB472">
        <v>2773</v>
      </c>
      <c r="BC472">
        <v>2787</v>
      </c>
      <c r="BD472" t="s">
        <v>74</v>
      </c>
      <c r="BE472" t="s">
        <v>6839</v>
      </c>
      <c r="BF472" t="str">
        <f>HYPERLINK("http://dx.doi.org/10.1016/j.dsr2.2001.03.002","http://dx.doi.org/10.1016/j.dsr2.2001.03.002")</f>
        <v>http://dx.doi.org/10.1016/j.dsr2.2001.03.002</v>
      </c>
      <c r="BG472" t="s">
        <v>74</v>
      </c>
      <c r="BH472" t="s">
        <v>74</v>
      </c>
      <c r="BI472">
        <v>15</v>
      </c>
      <c r="BJ472" t="s">
        <v>477</v>
      </c>
      <c r="BK472" t="s">
        <v>96</v>
      </c>
      <c r="BL472" t="s">
        <v>477</v>
      </c>
      <c r="BM472" t="s">
        <v>6726</v>
      </c>
      <c r="BN472" t="s">
        <v>74</v>
      </c>
      <c r="BO472" t="s">
        <v>74</v>
      </c>
      <c r="BP472" t="s">
        <v>74</v>
      </c>
      <c r="BQ472" t="s">
        <v>74</v>
      </c>
      <c r="BR472" t="s">
        <v>99</v>
      </c>
      <c r="BS472" t="s">
        <v>6840</v>
      </c>
      <c r="BT472" t="str">
        <f>HYPERLINK("https%3A%2F%2Fwww.webofscience.com%2Fwos%2Fwoscc%2Ffull-record%2FWOS:000226056900017","View Full Record in Web of Science")</f>
        <v>View Full Record in Web of Science</v>
      </c>
    </row>
    <row r="473" spans="1:72" x14ac:dyDescent="0.15">
      <c r="A473" t="s">
        <v>72</v>
      </c>
      <c r="B473" t="s">
        <v>6841</v>
      </c>
      <c r="C473" t="s">
        <v>74</v>
      </c>
      <c r="D473" t="s">
        <v>74</v>
      </c>
      <c r="E473" t="s">
        <v>74</v>
      </c>
      <c r="F473" t="s">
        <v>6841</v>
      </c>
      <c r="G473" t="s">
        <v>74</v>
      </c>
      <c r="H473" t="s">
        <v>74</v>
      </c>
      <c r="I473" t="s">
        <v>6842</v>
      </c>
      <c r="J473" t="s">
        <v>6078</v>
      </c>
      <c r="K473" t="s">
        <v>74</v>
      </c>
      <c r="L473" t="s">
        <v>74</v>
      </c>
      <c r="M473" t="s">
        <v>77</v>
      </c>
      <c r="N473" t="s">
        <v>78</v>
      </c>
      <c r="O473" t="s">
        <v>74</v>
      </c>
      <c r="P473" t="s">
        <v>74</v>
      </c>
      <c r="Q473" t="s">
        <v>74</v>
      </c>
      <c r="R473" t="s">
        <v>74</v>
      </c>
      <c r="S473" t="s">
        <v>74</v>
      </c>
      <c r="T473" t="s">
        <v>74</v>
      </c>
      <c r="U473" t="s">
        <v>6843</v>
      </c>
      <c r="V473" t="s">
        <v>6844</v>
      </c>
      <c r="W473" t="s">
        <v>6845</v>
      </c>
      <c r="X473" t="s">
        <v>6846</v>
      </c>
      <c r="Y473" t="s">
        <v>6847</v>
      </c>
      <c r="Z473" t="s">
        <v>6814</v>
      </c>
      <c r="AA473" t="s">
        <v>6848</v>
      </c>
      <c r="AB473" t="s">
        <v>74</v>
      </c>
      <c r="AC473" t="s">
        <v>74</v>
      </c>
      <c r="AD473" t="s">
        <v>74</v>
      </c>
      <c r="AE473" t="s">
        <v>74</v>
      </c>
      <c r="AF473" t="s">
        <v>74</v>
      </c>
      <c r="AG473">
        <v>41</v>
      </c>
      <c r="AH473">
        <v>41</v>
      </c>
      <c r="AI473">
        <v>49</v>
      </c>
      <c r="AJ473">
        <v>0</v>
      </c>
      <c r="AK473">
        <v>33</v>
      </c>
      <c r="AL473" t="s">
        <v>213</v>
      </c>
      <c r="AM473" t="s">
        <v>214</v>
      </c>
      <c r="AN473" t="s">
        <v>215</v>
      </c>
      <c r="AO473" t="s">
        <v>6083</v>
      </c>
      <c r="AP473" t="s">
        <v>6084</v>
      </c>
      <c r="AQ473" t="s">
        <v>74</v>
      </c>
      <c r="AR473" t="s">
        <v>6085</v>
      </c>
      <c r="AS473" t="s">
        <v>6086</v>
      </c>
      <c r="AT473" t="s">
        <v>74</v>
      </c>
      <c r="AU473">
        <v>2004</v>
      </c>
      <c r="AV473">
        <v>51</v>
      </c>
      <c r="AW473" t="s">
        <v>6724</v>
      </c>
      <c r="AX473" t="s">
        <v>74</v>
      </c>
      <c r="AY473" t="s">
        <v>74</v>
      </c>
      <c r="AZ473" t="s">
        <v>74</v>
      </c>
      <c r="BA473" t="s">
        <v>74</v>
      </c>
      <c r="BB473">
        <v>2789</v>
      </c>
      <c r="BC473">
        <v>2805</v>
      </c>
      <c r="BD473" t="s">
        <v>74</v>
      </c>
      <c r="BE473" t="s">
        <v>6849</v>
      </c>
      <c r="BF473" t="str">
        <f>HYPERLINK("http://dx.doi.org/10.1016/j.dsr2.2004.09.005","http://dx.doi.org/10.1016/j.dsr2.2004.09.005")</f>
        <v>http://dx.doi.org/10.1016/j.dsr2.2004.09.005</v>
      </c>
      <c r="BG473" t="s">
        <v>74</v>
      </c>
      <c r="BH473" t="s">
        <v>74</v>
      </c>
      <c r="BI473">
        <v>17</v>
      </c>
      <c r="BJ473" t="s">
        <v>477</v>
      </c>
      <c r="BK473" t="s">
        <v>96</v>
      </c>
      <c r="BL473" t="s">
        <v>477</v>
      </c>
      <c r="BM473" t="s">
        <v>6726</v>
      </c>
      <c r="BN473" t="s">
        <v>74</v>
      </c>
      <c r="BO473" t="s">
        <v>74</v>
      </c>
      <c r="BP473" t="s">
        <v>74</v>
      </c>
      <c r="BQ473" t="s">
        <v>74</v>
      </c>
      <c r="BR473" t="s">
        <v>99</v>
      </c>
      <c r="BS473" t="s">
        <v>6850</v>
      </c>
      <c r="BT473" t="str">
        <f>HYPERLINK("https%3A%2F%2Fwww.webofscience.com%2Fwos%2Fwoscc%2Ffull-record%2FWOS:000226056900018","View Full Record in Web of Science")</f>
        <v>View Full Record in Web of Science</v>
      </c>
    </row>
    <row r="474" spans="1:72" x14ac:dyDescent="0.15">
      <c r="A474" t="s">
        <v>72</v>
      </c>
      <c r="B474" t="s">
        <v>6851</v>
      </c>
      <c r="C474" t="s">
        <v>74</v>
      </c>
      <c r="D474" t="s">
        <v>74</v>
      </c>
      <c r="E474" t="s">
        <v>74</v>
      </c>
      <c r="F474" t="s">
        <v>6851</v>
      </c>
      <c r="G474" t="s">
        <v>74</v>
      </c>
      <c r="H474" t="s">
        <v>74</v>
      </c>
      <c r="I474" t="s">
        <v>6852</v>
      </c>
      <c r="J474" t="s">
        <v>6078</v>
      </c>
      <c r="K474" t="s">
        <v>74</v>
      </c>
      <c r="L474" t="s">
        <v>74</v>
      </c>
      <c r="M474" t="s">
        <v>77</v>
      </c>
      <c r="N474" t="s">
        <v>78</v>
      </c>
      <c r="O474" t="s">
        <v>74</v>
      </c>
      <c r="P474" t="s">
        <v>74</v>
      </c>
      <c r="Q474" t="s">
        <v>74</v>
      </c>
      <c r="R474" t="s">
        <v>74</v>
      </c>
      <c r="S474" t="s">
        <v>74</v>
      </c>
      <c r="T474" t="s">
        <v>74</v>
      </c>
      <c r="U474" t="s">
        <v>6853</v>
      </c>
      <c r="V474" t="s">
        <v>6854</v>
      </c>
      <c r="W474" t="s">
        <v>6855</v>
      </c>
      <c r="X474" t="s">
        <v>6775</v>
      </c>
      <c r="Y474" t="s">
        <v>6856</v>
      </c>
      <c r="Z474" t="s">
        <v>6857</v>
      </c>
      <c r="AA474" t="s">
        <v>6858</v>
      </c>
      <c r="AB474" t="s">
        <v>6859</v>
      </c>
      <c r="AC474" t="s">
        <v>74</v>
      </c>
      <c r="AD474" t="s">
        <v>74</v>
      </c>
      <c r="AE474" t="s">
        <v>74</v>
      </c>
      <c r="AF474" t="s">
        <v>74</v>
      </c>
      <c r="AG474">
        <v>34</v>
      </c>
      <c r="AH474">
        <v>2</v>
      </c>
      <c r="AI474">
        <v>3</v>
      </c>
      <c r="AJ474">
        <v>0</v>
      </c>
      <c r="AK474">
        <v>5</v>
      </c>
      <c r="AL474" t="s">
        <v>213</v>
      </c>
      <c r="AM474" t="s">
        <v>214</v>
      </c>
      <c r="AN474" t="s">
        <v>215</v>
      </c>
      <c r="AO474" t="s">
        <v>6083</v>
      </c>
      <c r="AP474" t="s">
        <v>6084</v>
      </c>
      <c r="AQ474" t="s">
        <v>74</v>
      </c>
      <c r="AR474" t="s">
        <v>6085</v>
      </c>
      <c r="AS474" t="s">
        <v>6086</v>
      </c>
      <c r="AT474" t="s">
        <v>74</v>
      </c>
      <c r="AU474">
        <v>2004</v>
      </c>
      <c r="AV474">
        <v>51</v>
      </c>
      <c r="AW474" t="s">
        <v>6724</v>
      </c>
      <c r="AX474" t="s">
        <v>74</v>
      </c>
      <c r="AY474" t="s">
        <v>74</v>
      </c>
      <c r="AZ474" t="s">
        <v>74</v>
      </c>
      <c r="BA474" t="s">
        <v>74</v>
      </c>
      <c r="BB474">
        <v>2807</v>
      </c>
      <c r="BC474">
        <v>2825</v>
      </c>
      <c r="BD474" t="s">
        <v>74</v>
      </c>
      <c r="BE474" t="s">
        <v>6860</v>
      </c>
      <c r="BF474" t="str">
        <f>HYPERLINK("http://dx.doi.org/10.1016/j.dsr2.2004.09.006","http://dx.doi.org/10.1016/j.dsr2.2004.09.006")</f>
        <v>http://dx.doi.org/10.1016/j.dsr2.2004.09.006</v>
      </c>
      <c r="BG474" t="s">
        <v>74</v>
      </c>
      <c r="BH474" t="s">
        <v>74</v>
      </c>
      <c r="BI474">
        <v>19</v>
      </c>
      <c r="BJ474" t="s">
        <v>477</v>
      </c>
      <c r="BK474" t="s">
        <v>96</v>
      </c>
      <c r="BL474" t="s">
        <v>477</v>
      </c>
      <c r="BM474" t="s">
        <v>6726</v>
      </c>
      <c r="BN474" t="s">
        <v>74</v>
      </c>
      <c r="BO474" t="s">
        <v>74</v>
      </c>
      <c r="BP474" t="s">
        <v>74</v>
      </c>
      <c r="BQ474" t="s">
        <v>74</v>
      </c>
      <c r="BR474" t="s">
        <v>99</v>
      </c>
      <c r="BS474" t="s">
        <v>6861</v>
      </c>
      <c r="BT474" t="str">
        <f>HYPERLINK("https%3A%2F%2Fwww.webofscience.com%2Fwos%2Fwoscc%2Ffull-record%2FWOS:000226056900019","View Full Record in Web of Science")</f>
        <v>View Full Record in Web of Science</v>
      </c>
    </row>
    <row r="475" spans="1:72" x14ac:dyDescent="0.15">
      <c r="A475" t="s">
        <v>72</v>
      </c>
      <c r="B475" t="s">
        <v>6862</v>
      </c>
      <c r="C475" t="s">
        <v>74</v>
      </c>
      <c r="D475" t="s">
        <v>74</v>
      </c>
      <c r="E475" t="s">
        <v>74</v>
      </c>
      <c r="F475" t="s">
        <v>6862</v>
      </c>
      <c r="G475" t="s">
        <v>74</v>
      </c>
      <c r="H475" t="s">
        <v>74</v>
      </c>
      <c r="I475" t="s">
        <v>6863</v>
      </c>
      <c r="J475" t="s">
        <v>6078</v>
      </c>
      <c r="K475" t="s">
        <v>74</v>
      </c>
      <c r="L475" t="s">
        <v>74</v>
      </c>
      <c r="M475" t="s">
        <v>77</v>
      </c>
      <c r="N475" t="s">
        <v>78</v>
      </c>
      <c r="O475" t="s">
        <v>74</v>
      </c>
      <c r="P475" t="s">
        <v>74</v>
      </c>
      <c r="Q475" t="s">
        <v>74</v>
      </c>
      <c r="R475" t="s">
        <v>74</v>
      </c>
      <c r="S475" t="s">
        <v>74</v>
      </c>
      <c r="T475" t="s">
        <v>74</v>
      </c>
      <c r="U475" t="s">
        <v>6864</v>
      </c>
      <c r="V475" t="s">
        <v>6865</v>
      </c>
      <c r="W475" t="s">
        <v>6866</v>
      </c>
      <c r="X475" t="s">
        <v>6775</v>
      </c>
      <c r="Y475" t="s">
        <v>6824</v>
      </c>
      <c r="Z475" t="s">
        <v>6825</v>
      </c>
      <c r="AA475" t="s">
        <v>6826</v>
      </c>
      <c r="AB475" t="s">
        <v>74</v>
      </c>
      <c r="AC475" t="s">
        <v>74</v>
      </c>
      <c r="AD475" t="s">
        <v>74</v>
      </c>
      <c r="AE475" t="s">
        <v>74</v>
      </c>
      <c r="AF475" t="s">
        <v>74</v>
      </c>
      <c r="AG475">
        <v>39</v>
      </c>
      <c r="AH475">
        <v>18</v>
      </c>
      <c r="AI475">
        <v>19</v>
      </c>
      <c r="AJ475">
        <v>0</v>
      </c>
      <c r="AK475">
        <v>8</v>
      </c>
      <c r="AL475" t="s">
        <v>213</v>
      </c>
      <c r="AM475" t="s">
        <v>214</v>
      </c>
      <c r="AN475" t="s">
        <v>215</v>
      </c>
      <c r="AO475" t="s">
        <v>6083</v>
      </c>
      <c r="AP475" t="s">
        <v>74</v>
      </c>
      <c r="AQ475" t="s">
        <v>74</v>
      </c>
      <c r="AR475" t="s">
        <v>6085</v>
      </c>
      <c r="AS475" t="s">
        <v>6086</v>
      </c>
      <c r="AT475" t="s">
        <v>74</v>
      </c>
      <c r="AU475">
        <v>2004</v>
      </c>
      <c r="AV475">
        <v>51</v>
      </c>
      <c r="AW475" t="s">
        <v>6724</v>
      </c>
      <c r="AX475" t="s">
        <v>74</v>
      </c>
      <c r="AY475" t="s">
        <v>74</v>
      </c>
      <c r="AZ475" t="s">
        <v>74</v>
      </c>
      <c r="BA475" t="s">
        <v>74</v>
      </c>
      <c r="BB475">
        <v>2827</v>
      </c>
      <c r="BC475">
        <v>2839</v>
      </c>
      <c r="BD475" t="s">
        <v>74</v>
      </c>
      <c r="BE475" t="s">
        <v>6867</v>
      </c>
      <c r="BF475" t="str">
        <f>HYPERLINK("http://dx.doi.org/10.1016/j.dsr2.2001.01.001","http://dx.doi.org/10.1016/j.dsr2.2001.01.001")</f>
        <v>http://dx.doi.org/10.1016/j.dsr2.2001.01.001</v>
      </c>
      <c r="BG475" t="s">
        <v>74</v>
      </c>
      <c r="BH475" t="s">
        <v>74</v>
      </c>
      <c r="BI475">
        <v>13</v>
      </c>
      <c r="BJ475" t="s">
        <v>477</v>
      </c>
      <c r="BK475" t="s">
        <v>96</v>
      </c>
      <c r="BL475" t="s">
        <v>477</v>
      </c>
      <c r="BM475" t="s">
        <v>6726</v>
      </c>
      <c r="BN475" t="s">
        <v>74</v>
      </c>
      <c r="BO475" t="s">
        <v>74</v>
      </c>
      <c r="BP475" t="s">
        <v>74</v>
      </c>
      <c r="BQ475" t="s">
        <v>74</v>
      </c>
      <c r="BR475" t="s">
        <v>99</v>
      </c>
      <c r="BS475" t="s">
        <v>6868</v>
      </c>
      <c r="BT475" t="str">
        <f>HYPERLINK("https%3A%2F%2Fwww.webofscience.com%2Fwos%2Fwoscc%2Ffull-record%2FWOS:000226056900020","View Full Record in Web of Science")</f>
        <v>View Full Record in Web of Science</v>
      </c>
    </row>
    <row r="476" spans="1:72" x14ac:dyDescent="0.15">
      <c r="A476" t="s">
        <v>72</v>
      </c>
      <c r="B476" t="s">
        <v>6869</v>
      </c>
      <c r="C476" t="s">
        <v>74</v>
      </c>
      <c r="D476" t="s">
        <v>74</v>
      </c>
      <c r="E476" t="s">
        <v>74</v>
      </c>
      <c r="F476" t="s">
        <v>6869</v>
      </c>
      <c r="G476" t="s">
        <v>74</v>
      </c>
      <c r="H476" t="s">
        <v>74</v>
      </c>
      <c r="I476" t="s">
        <v>6870</v>
      </c>
      <c r="J476" t="s">
        <v>6078</v>
      </c>
      <c r="K476" t="s">
        <v>74</v>
      </c>
      <c r="L476" t="s">
        <v>74</v>
      </c>
      <c r="M476" t="s">
        <v>77</v>
      </c>
      <c r="N476" t="s">
        <v>78</v>
      </c>
      <c r="O476" t="s">
        <v>74</v>
      </c>
      <c r="P476" t="s">
        <v>74</v>
      </c>
      <c r="Q476" t="s">
        <v>74</v>
      </c>
      <c r="R476" t="s">
        <v>74</v>
      </c>
      <c r="S476" t="s">
        <v>74</v>
      </c>
      <c r="T476" t="s">
        <v>74</v>
      </c>
      <c r="U476" t="s">
        <v>6871</v>
      </c>
      <c r="V476" t="s">
        <v>6872</v>
      </c>
      <c r="W476" t="s">
        <v>6873</v>
      </c>
      <c r="X476" t="s">
        <v>6874</v>
      </c>
      <c r="Y476" t="s">
        <v>6776</v>
      </c>
      <c r="Z476" t="s">
        <v>6875</v>
      </c>
      <c r="AA476" t="s">
        <v>6876</v>
      </c>
      <c r="AB476" t="s">
        <v>6877</v>
      </c>
      <c r="AC476" t="s">
        <v>74</v>
      </c>
      <c r="AD476" t="s">
        <v>74</v>
      </c>
      <c r="AE476" t="s">
        <v>74</v>
      </c>
      <c r="AF476" t="s">
        <v>74</v>
      </c>
      <c r="AG476">
        <v>79</v>
      </c>
      <c r="AH476">
        <v>118</v>
      </c>
      <c r="AI476">
        <v>123</v>
      </c>
      <c r="AJ476">
        <v>2</v>
      </c>
      <c r="AK476">
        <v>16</v>
      </c>
      <c r="AL476" t="s">
        <v>213</v>
      </c>
      <c r="AM476" t="s">
        <v>214</v>
      </c>
      <c r="AN476" t="s">
        <v>215</v>
      </c>
      <c r="AO476" t="s">
        <v>6083</v>
      </c>
      <c r="AP476" t="s">
        <v>6084</v>
      </c>
      <c r="AQ476" t="s">
        <v>74</v>
      </c>
      <c r="AR476" t="s">
        <v>6085</v>
      </c>
      <c r="AS476" t="s">
        <v>6086</v>
      </c>
      <c r="AT476" t="s">
        <v>74</v>
      </c>
      <c r="AU476">
        <v>2004</v>
      </c>
      <c r="AV476">
        <v>51</v>
      </c>
      <c r="AW476" t="s">
        <v>6724</v>
      </c>
      <c r="AX476" t="s">
        <v>74</v>
      </c>
      <c r="AY476" t="s">
        <v>74</v>
      </c>
      <c r="AZ476" t="s">
        <v>74</v>
      </c>
      <c r="BA476" t="s">
        <v>74</v>
      </c>
      <c r="BB476">
        <v>2857</v>
      </c>
      <c r="BC476">
        <v>2879</v>
      </c>
      <c r="BD476" t="s">
        <v>74</v>
      </c>
      <c r="BE476" t="s">
        <v>6878</v>
      </c>
      <c r="BF476" t="str">
        <f>HYPERLINK("http://dx.doi.org/10.1016/j.dsr2.2003.10.012","http://dx.doi.org/10.1016/j.dsr2.2003.10.012")</f>
        <v>http://dx.doi.org/10.1016/j.dsr2.2003.10.012</v>
      </c>
      <c r="BG476" t="s">
        <v>74</v>
      </c>
      <c r="BH476" t="s">
        <v>74</v>
      </c>
      <c r="BI476">
        <v>23</v>
      </c>
      <c r="BJ476" t="s">
        <v>477</v>
      </c>
      <c r="BK476" t="s">
        <v>96</v>
      </c>
      <c r="BL476" t="s">
        <v>477</v>
      </c>
      <c r="BM476" t="s">
        <v>6726</v>
      </c>
      <c r="BN476" t="s">
        <v>74</v>
      </c>
      <c r="BO476" t="s">
        <v>74</v>
      </c>
      <c r="BP476" t="s">
        <v>74</v>
      </c>
      <c r="BQ476" t="s">
        <v>74</v>
      </c>
      <c r="BR476" t="s">
        <v>99</v>
      </c>
      <c r="BS476" t="s">
        <v>6879</v>
      </c>
      <c r="BT476" t="str">
        <f>HYPERLINK("https%3A%2F%2Fwww.webofscience.com%2Fwos%2Fwoscc%2Ffull-record%2FWOS:000226056900022","View Full Record in Web of Science")</f>
        <v>View Full Record in Web of Science</v>
      </c>
    </row>
    <row r="477" spans="1:72" x14ac:dyDescent="0.15">
      <c r="A477" t="s">
        <v>72</v>
      </c>
      <c r="B477" t="s">
        <v>6880</v>
      </c>
      <c r="C477" t="s">
        <v>74</v>
      </c>
      <c r="D477" t="s">
        <v>74</v>
      </c>
      <c r="E477" t="s">
        <v>74</v>
      </c>
      <c r="F477" t="s">
        <v>6880</v>
      </c>
      <c r="G477" t="s">
        <v>74</v>
      </c>
      <c r="H477" t="s">
        <v>74</v>
      </c>
      <c r="I477" t="s">
        <v>6881</v>
      </c>
      <c r="J477" t="s">
        <v>6078</v>
      </c>
      <c r="K477" t="s">
        <v>74</v>
      </c>
      <c r="L477" t="s">
        <v>74</v>
      </c>
      <c r="M477" t="s">
        <v>77</v>
      </c>
      <c r="N477" t="s">
        <v>311</v>
      </c>
      <c r="O477" t="s">
        <v>6882</v>
      </c>
      <c r="P477" t="s">
        <v>6883</v>
      </c>
      <c r="Q477" t="s">
        <v>6884</v>
      </c>
      <c r="R477" t="s">
        <v>74</v>
      </c>
      <c r="S477" t="s">
        <v>74</v>
      </c>
      <c r="T477" t="s">
        <v>74</v>
      </c>
      <c r="U477" t="s">
        <v>6885</v>
      </c>
      <c r="V477" t="s">
        <v>6886</v>
      </c>
      <c r="W477" t="s">
        <v>6887</v>
      </c>
      <c r="X477" t="s">
        <v>6888</v>
      </c>
      <c r="Y477" t="s">
        <v>6889</v>
      </c>
      <c r="Z477" t="s">
        <v>6890</v>
      </c>
      <c r="AA477" t="s">
        <v>74</v>
      </c>
      <c r="AB477" t="s">
        <v>6891</v>
      </c>
      <c r="AC477" t="s">
        <v>74</v>
      </c>
      <c r="AD477" t="s">
        <v>74</v>
      </c>
      <c r="AE477" t="s">
        <v>74</v>
      </c>
      <c r="AF477" t="s">
        <v>74</v>
      </c>
      <c r="AG477">
        <v>108</v>
      </c>
      <c r="AH477">
        <v>133</v>
      </c>
      <c r="AI477">
        <v>137</v>
      </c>
      <c r="AJ477">
        <v>0</v>
      </c>
      <c r="AK477">
        <v>21</v>
      </c>
      <c r="AL477" t="s">
        <v>213</v>
      </c>
      <c r="AM477" t="s">
        <v>214</v>
      </c>
      <c r="AN477" t="s">
        <v>215</v>
      </c>
      <c r="AO477" t="s">
        <v>6083</v>
      </c>
      <c r="AP477" t="s">
        <v>6084</v>
      </c>
      <c r="AQ477" t="s">
        <v>74</v>
      </c>
      <c r="AR477" t="s">
        <v>6085</v>
      </c>
      <c r="AS477" t="s">
        <v>6086</v>
      </c>
      <c r="AT477" t="s">
        <v>74</v>
      </c>
      <c r="AU477">
        <v>2004</v>
      </c>
      <c r="AV477">
        <v>51</v>
      </c>
      <c r="AW477" t="s">
        <v>6892</v>
      </c>
      <c r="AX477" t="s">
        <v>74</v>
      </c>
      <c r="AY477" t="s">
        <v>74</v>
      </c>
      <c r="AZ477" t="s">
        <v>74</v>
      </c>
      <c r="BA477" t="s">
        <v>74</v>
      </c>
      <c r="BB477">
        <v>3069</v>
      </c>
      <c r="BC477">
        <v>3101</v>
      </c>
      <c r="BD477" t="s">
        <v>74</v>
      </c>
      <c r="BE477" t="s">
        <v>6893</v>
      </c>
      <c r="BF477" t="str">
        <f>HYPERLINK("http://dx.doi.org/10.1016/j.dsr2.2004.09.014","http://dx.doi.org/10.1016/j.dsr2.2004.09.014")</f>
        <v>http://dx.doi.org/10.1016/j.dsr2.2004.09.014</v>
      </c>
      <c r="BG477" t="s">
        <v>74</v>
      </c>
      <c r="BH477" t="s">
        <v>74</v>
      </c>
      <c r="BI477">
        <v>33</v>
      </c>
      <c r="BJ477" t="s">
        <v>477</v>
      </c>
      <c r="BK477" t="s">
        <v>332</v>
      </c>
      <c r="BL477" t="s">
        <v>477</v>
      </c>
      <c r="BM477" t="s">
        <v>6894</v>
      </c>
      <c r="BN477" t="s">
        <v>74</v>
      </c>
      <c r="BO477" t="s">
        <v>74</v>
      </c>
      <c r="BP477" t="s">
        <v>74</v>
      </c>
      <c r="BQ477" t="s">
        <v>74</v>
      </c>
      <c r="BR477" t="s">
        <v>99</v>
      </c>
      <c r="BS477" t="s">
        <v>6895</v>
      </c>
      <c r="BT477" t="str">
        <f>HYPERLINK("https%3A%2F%2Fwww.webofscience.com%2Fwos%2Fwoscc%2Ffull-record%2FWOS:000226057200012","View Full Record in Web of Science")</f>
        <v>View Full Record in Web of Science</v>
      </c>
    </row>
    <row r="478" spans="1:72" x14ac:dyDescent="0.15">
      <c r="A478" t="s">
        <v>3934</v>
      </c>
      <c r="B478" t="s">
        <v>6896</v>
      </c>
      <c r="C478" t="s">
        <v>74</v>
      </c>
      <c r="D478" t="s">
        <v>6897</v>
      </c>
      <c r="E478" t="s">
        <v>74</v>
      </c>
      <c r="F478" t="s">
        <v>6896</v>
      </c>
      <c r="G478" t="s">
        <v>74</v>
      </c>
      <c r="H478" t="s">
        <v>74</v>
      </c>
      <c r="I478" t="s">
        <v>6898</v>
      </c>
      <c r="J478" t="s">
        <v>6899</v>
      </c>
      <c r="K478" t="s">
        <v>6900</v>
      </c>
      <c r="L478" t="s">
        <v>74</v>
      </c>
      <c r="M478" t="s">
        <v>77</v>
      </c>
      <c r="N478" t="s">
        <v>3940</v>
      </c>
      <c r="O478" t="s">
        <v>6901</v>
      </c>
      <c r="P478" t="s">
        <v>6902</v>
      </c>
      <c r="Q478" t="s">
        <v>6903</v>
      </c>
      <c r="R478" t="s">
        <v>74</v>
      </c>
      <c r="S478" t="s">
        <v>74</v>
      </c>
      <c r="T478" t="s">
        <v>74</v>
      </c>
      <c r="U478" t="s">
        <v>6904</v>
      </c>
      <c r="V478" t="s">
        <v>6905</v>
      </c>
      <c r="W478" t="s">
        <v>6906</v>
      </c>
      <c r="X478" t="s">
        <v>6907</v>
      </c>
      <c r="Y478" t="s">
        <v>6908</v>
      </c>
      <c r="Z478" t="s">
        <v>6909</v>
      </c>
      <c r="AA478" t="s">
        <v>74</v>
      </c>
      <c r="AB478" t="s">
        <v>74</v>
      </c>
      <c r="AC478" t="s">
        <v>74</v>
      </c>
      <c r="AD478" t="s">
        <v>74</v>
      </c>
      <c r="AE478" t="s">
        <v>74</v>
      </c>
      <c r="AF478" t="s">
        <v>74</v>
      </c>
      <c r="AG478">
        <v>13</v>
      </c>
      <c r="AH478">
        <v>0</v>
      </c>
      <c r="AI478">
        <v>0</v>
      </c>
      <c r="AJ478">
        <v>0</v>
      </c>
      <c r="AK478">
        <v>0</v>
      </c>
      <c r="AL478" t="s">
        <v>5600</v>
      </c>
      <c r="AM478" t="s">
        <v>5601</v>
      </c>
      <c r="AN478" t="s">
        <v>5602</v>
      </c>
      <c r="AO478" t="s">
        <v>6910</v>
      </c>
      <c r="AP478" t="s">
        <v>6911</v>
      </c>
      <c r="AQ478" t="s">
        <v>6912</v>
      </c>
      <c r="AR478" t="s">
        <v>6913</v>
      </c>
      <c r="AS478" t="s">
        <v>74</v>
      </c>
      <c r="AT478" t="s">
        <v>74</v>
      </c>
      <c r="AU478">
        <v>2004</v>
      </c>
      <c r="AV478">
        <v>91</v>
      </c>
      <c r="AW478" t="s">
        <v>74</v>
      </c>
      <c r="AX478" t="s">
        <v>74</v>
      </c>
      <c r="AY478" t="s">
        <v>74</v>
      </c>
      <c r="AZ478" t="s">
        <v>74</v>
      </c>
      <c r="BA478" t="s">
        <v>74</v>
      </c>
      <c r="BB478">
        <v>269</v>
      </c>
      <c r="BC478">
        <v>272</v>
      </c>
      <c r="BD478" t="s">
        <v>74</v>
      </c>
      <c r="BE478" t="s">
        <v>74</v>
      </c>
      <c r="BF478" t="s">
        <v>74</v>
      </c>
      <c r="BG478" t="s">
        <v>74</v>
      </c>
      <c r="BH478" t="s">
        <v>74</v>
      </c>
      <c r="BI478">
        <v>4</v>
      </c>
      <c r="BJ478" t="s">
        <v>395</v>
      </c>
      <c r="BK478" t="s">
        <v>3955</v>
      </c>
      <c r="BL478" t="s">
        <v>395</v>
      </c>
      <c r="BM478" t="s">
        <v>6914</v>
      </c>
      <c r="BN478" t="s">
        <v>74</v>
      </c>
      <c r="BO478" t="s">
        <v>74</v>
      </c>
      <c r="BP478" t="s">
        <v>74</v>
      </c>
      <c r="BQ478" t="s">
        <v>74</v>
      </c>
      <c r="BR478" t="s">
        <v>99</v>
      </c>
      <c r="BS478" t="s">
        <v>6915</v>
      </c>
      <c r="BT478" t="str">
        <f>HYPERLINK("https%3A%2F%2Fwww.webofscience.com%2Fwos%2Fwoscc%2Ffull-record%2FWOS:000222028600048","View Full Record in Web of Science")</f>
        <v>View Full Record in Web of Science</v>
      </c>
    </row>
    <row r="479" spans="1:72" x14ac:dyDescent="0.15">
      <c r="A479" t="s">
        <v>72</v>
      </c>
      <c r="B479" t="s">
        <v>6916</v>
      </c>
      <c r="C479" t="s">
        <v>74</v>
      </c>
      <c r="D479" t="s">
        <v>74</v>
      </c>
      <c r="E479" t="s">
        <v>74</v>
      </c>
      <c r="F479" t="s">
        <v>6916</v>
      </c>
      <c r="G479" t="s">
        <v>74</v>
      </c>
      <c r="H479" t="s">
        <v>74</v>
      </c>
      <c r="I479" t="s">
        <v>6917</v>
      </c>
      <c r="J479" t="s">
        <v>6918</v>
      </c>
      <c r="K479" t="s">
        <v>74</v>
      </c>
      <c r="L479" t="s">
        <v>74</v>
      </c>
      <c r="M479" t="s">
        <v>77</v>
      </c>
      <c r="N479" t="s">
        <v>78</v>
      </c>
      <c r="O479" t="s">
        <v>74</v>
      </c>
      <c r="P479" t="s">
        <v>74</v>
      </c>
      <c r="Q479" t="s">
        <v>74</v>
      </c>
      <c r="R479" t="s">
        <v>74</v>
      </c>
      <c r="S479" t="s">
        <v>74</v>
      </c>
      <c r="T479" t="s">
        <v>74</v>
      </c>
      <c r="U479" t="s">
        <v>6919</v>
      </c>
      <c r="V479" t="s">
        <v>74</v>
      </c>
      <c r="W479" t="s">
        <v>6920</v>
      </c>
      <c r="X479" t="s">
        <v>1912</v>
      </c>
      <c r="Y479" t="s">
        <v>6921</v>
      </c>
      <c r="Z479" t="s">
        <v>6922</v>
      </c>
      <c r="AA479" t="s">
        <v>6923</v>
      </c>
      <c r="AB479" t="s">
        <v>6924</v>
      </c>
      <c r="AC479" t="s">
        <v>74</v>
      </c>
      <c r="AD479" t="s">
        <v>74</v>
      </c>
      <c r="AE479" t="s">
        <v>74</v>
      </c>
      <c r="AF479" t="s">
        <v>74</v>
      </c>
      <c r="AG479">
        <v>15</v>
      </c>
      <c r="AH479">
        <v>2</v>
      </c>
      <c r="AI479">
        <v>3</v>
      </c>
      <c r="AJ479">
        <v>0</v>
      </c>
      <c r="AK479">
        <v>0</v>
      </c>
      <c r="AL479" t="s">
        <v>6925</v>
      </c>
      <c r="AM479" t="s">
        <v>87</v>
      </c>
      <c r="AN479" t="s">
        <v>6926</v>
      </c>
      <c r="AO479" t="s">
        <v>6927</v>
      </c>
      <c r="AP479" t="s">
        <v>6928</v>
      </c>
      <c r="AQ479" t="s">
        <v>74</v>
      </c>
      <c r="AR479" t="s">
        <v>6929</v>
      </c>
      <c r="AS479" t="s">
        <v>6930</v>
      </c>
      <c r="AT479" t="s">
        <v>5979</v>
      </c>
      <c r="AU479">
        <v>2004</v>
      </c>
      <c r="AV479">
        <v>394</v>
      </c>
      <c r="AW479">
        <v>1</v>
      </c>
      <c r="AX479" t="s">
        <v>74</v>
      </c>
      <c r="AY479" t="s">
        <v>74</v>
      </c>
      <c r="AZ479" t="s">
        <v>74</v>
      </c>
      <c r="BA479" t="s">
        <v>74</v>
      </c>
      <c r="BB479">
        <v>112</v>
      </c>
      <c r="BC479">
        <v>115</v>
      </c>
      <c r="BD479" t="s">
        <v>74</v>
      </c>
      <c r="BE479" t="s">
        <v>74</v>
      </c>
      <c r="BF479" t="s">
        <v>74</v>
      </c>
      <c r="BG479" t="s">
        <v>74</v>
      </c>
      <c r="BH479" t="s">
        <v>74</v>
      </c>
      <c r="BI479">
        <v>4</v>
      </c>
      <c r="BJ479" t="s">
        <v>560</v>
      </c>
      <c r="BK479" t="s">
        <v>96</v>
      </c>
      <c r="BL479" t="s">
        <v>561</v>
      </c>
      <c r="BM479" t="s">
        <v>6931</v>
      </c>
      <c r="BN479" t="s">
        <v>74</v>
      </c>
      <c r="BO479" t="s">
        <v>74</v>
      </c>
      <c r="BP479" t="s">
        <v>74</v>
      </c>
      <c r="BQ479" t="s">
        <v>74</v>
      </c>
      <c r="BR479" t="s">
        <v>99</v>
      </c>
      <c r="BS479" t="s">
        <v>6932</v>
      </c>
      <c r="BT479" t="str">
        <f>HYPERLINK("https%3A%2F%2Fwww.webofscience.com%2Fwos%2Fwoscc%2Ffull-record%2FWOS:000189189000028","View Full Record in Web of Science")</f>
        <v>View Full Record in Web of Science</v>
      </c>
    </row>
    <row r="480" spans="1:72" x14ac:dyDescent="0.15">
      <c r="A480" t="s">
        <v>72</v>
      </c>
      <c r="B480" t="s">
        <v>6933</v>
      </c>
      <c r="C480" t="s">
        <v>74</v>
      </c>
      <c r="D480" t="s">
        <v>74</v>
      </c>
      <c r="E480" t="s">
        <v>74</v>
      </c>
      <c r="F480" t="s">
        <v>6933</v>
      </c>
      <c r="G480" t="s">
        <v>74</v>
      </c>
      <c r="H480" t="s">
        <v>74</v>
      </c>
      <c r="I480" t="s">
        <v>6934</v>
      </c>
      <c r="J480" t="s">
        <v>2128</v>
      </c>
      <c r="K480" t="s">
        <v>74</v>
      </c>
      <c r="L480" t="s">
        <v>74</v>
      </c>
      <c r="M480" t="s">
        <v>77</v>
      </c>
      <c r="N480" t="s">
        <v>78</v>
      </c>
      <c r="O480" t="s">
        <v>74</v>
      </c>
      <c r="P480" t="s">
        <v>74</v>
      </c>
      <c r="Q480" t="s">
        <v>74</v>
      </c>
      <c r="R480" t="s">
        <v>74</v>
      </c>
      <c r="S480" t="s">
        <v>74</v>
      </c>
      <c r="T480" t="s">
        <v>6935</v>
      </c>
      <c r="U480" t="s">
        <v>6936</v>
      </c>
      <c r="V480" t="s">
        <v>6937</v>
      </c>
      <c r="W480" t="s">
        <v>6938</v>
      </c>
      <c r="X480" t="s">
        <v>1966</v>
      </c>
      <c r="Y480" t="s">
        <v>6939</v>
      </c>
      <c r="Z480" t="s">
        <v>74</v>
      </c>
      <c r="AA480" t="s">
        <v>74</v>
      </c>
      <c r="AB480" t="s">
        <v>6940</v>
      </c>
      <c r="AC480" t="s">
        <v>74</v>
      </c>
      <c r="AD480" t="s">
        <v>74</v>
      </c>
      <c r="AE480" t="s">
        <v>74</v>
      </c>
      <c r="AF480" t="s">
        <v>74</v>
      </c>
      <c r="AG480">
        <v>25</v>
      </c>
      <c r="AH480">
        <v>60</v>
      </c>
      <c r="AI480">
        <v>65</v>
      </c>
      <c r="AJ480">
        <v>0</v>
      </c>
      <c r="AK480">
        <v>8</v>
      </c>
      <c r="AL480" t="s">
        <v>528</v>
      </c>
      <c r="AM480" t="s">
        <v>529</v>
      </c>
      <c r="AN480" t="s">
        <v>530</v>
      </c>
      <c r="AO480" t="s">
        <v>2138</v>
      </c>
      <c r="AP480" t="s">
        <v>74</v>
      </c>
      <c r="AQ480" t="s">
        <v>74</v>
      </c>
      <c r="AR480" t="s">
        <v>2140</v>
      </c>
      <c r="AS480" t="s">
        <v>2141</v>
      </c>
      <c r="AT480" t="s">
        <v>6941</v>
      </c>
      <c r="AU480">
        <v>2004</v>
      </c>
      <c r="AV480">
        <v>217</v>
      </c>
      <c r="AW480" t="s">
        <v>536</v>
      </c>
      <c r="AX480" t="s">
        <v>74</v>
      </c>
      <c r="AY480" t="s">
        <v>74</v>
      </c>
      <c r="AZ480" t="s">
        <v>74</v>
      </c>
      <c r="BA480" t="s">
        <v>74</v>
      </c>
      <c r="BB480">
        <v>97</v>
      </c>
      <c r="BC480">
        <v>109</v>
      </c>
      <c r="BD480" t="s">
        <v>74</v>
      </c>
      <c r="BE480" t="s">
        <v>6942</v>
      </c>
      <c r="BF480" t="str">
        <f>HYPERLINK("http://dx.doi.org/10.1016/S0012-821X(03)00584-3","http://dx.doi.org/10.1016/S0012-821X(03)00584-3")</f>
        <v>http://dx.doi.org/10.1016/S0012-821X(03)00584-3</v>
      </c>
      <c r="BG480" t="s">
        <v>74</v>
      </c>
      <c r="BH480" t="s">
        <v>74</v>
      </c>
      <c r="BI480">
        <v>13</v>
      </c>
      <c r="BJ480" t="s">
        <v>262</v>
      </c>
      <c r="BK480" t="s">
        <v>96</v>
      </c>
      <c r="BL480" t="s">
        <v>262</v>
      </c>
      <c r="BM480" t="s">
        <v>6943</v>
      </c>
      <c r="BN480" t="s">
        <v>74</v>
      </c>
      <c r="BO480" t="s">
        <v>479</v>
      </c>
      <c r="BP480" t="s">
        <v>74</v>
      </c>
      <c r="BQ480" t="s">
        <v>74</v>
      </c>
      <c r="BR480" t="s">
        <v>99</v>
      </c>
      <c r="BS480" t="s">
        <v>6944</v>
      </c>
      <c r="BT480" t="str">
        <f>HYPERLINK("https%3A%2F%2Fwww.webofscience.com%2Fwos%2Fwoscc%2Ffull-record%2FWOS:000187781600008","View Full Record in Web of Science")</f>
        <v>View Full Record in Web of Science</v>
      </c>
    </row>
    <row r="481" spans="1:72" x14ac:dyDescent="0.15">
      <c r="A481" t="s">
        <v>72</v>
      </c>
      <c r="B481" t="s">
        <v>6945</v>
      </c>
      <c r="C481" t="s">
        <v>74</v>
      </c>
      <c r="D481" t="s">
        <v>74</v>
      </c>
      <c r="E481" t="s">
        <v>74</v>
      </c>
      <c r="F481" t="s">
        <v>6945</v>
      </c>
      <c r="G481" t="s">
        <v>74</v>
      </c>
      <c r="H481" t="s">
        <v>74</v>
      </c>
      <c r="I481" t="s">
        <v>6946</v>
      </c>
      <c r="J481" t="s">
        <v>2128</v>
      </c>
      <c r="K481" t="s">
        <v>74</v>
      </c>
      <c r="L481" t="s">
        <v>74</v>
      </c>
      <c r="M481" t="s">
        <v>77</v>
      </c>
      <c r="N481" t="s">
        <v>78</v>
      </c>
      <c r="O481" t="s">
        <v>74</v>
      </c>
      <c r="P481" t="s">
        <v>74</v>
      </c>
      <c r="Q481" t="s">
        <v>74</v>
      </c>
      <c r="R481" t="s">
        <v>74</v>
      </c>
      <c r="S481" t="s">
        <v>74</v>
      </c>
      <c r="T481" t="s">
        <v>6947</v>
      </c>
      <c r="U481" t="s">
        <v>6948</v>
      </c>
      <c r="V481" t="s">
        <v>6949</v>
      </c>
      <c r="W481" t="s">
        <v>6950</v>
      </c>
      <c r="X481" t="s">
        <v>6951</v>
      </c>
      <c r="Y481" t="s">
        <v>6952</v>
      </c>
      <c r="Z481" t="s">
        <v>6953</v>
      </c>
      <c r="AA481" t="s">
        <v>6954</v>
      </c>
      <c r="AB481" t="s">
        <v>6955</v>
      </c>
      <c r="AC481" t="s">
        <v>74</v>
      </c>
      <c r="AD481" t="s">
        <v>74</v>
      </c>
      <c r="AE481" t="s">
        <v>74</v>
      </c>
      <c r="AF481" t="s">
        <v>74</v>
      </c>
      <c r="AG481">
        <v>57</v>
      </c>
      <c r="AH481">
        <v>69</v>
      </c>
      <c r="AI481">
        <v>76</v>
      </c>
      <c r="AJ481">
        <v>0</v>
      </c>
      <c r="AK481">
        <v>20</v>
      </c>
      <c r="AL481" t="s">
        <v>685</v>
      </c>
      <c r="AM481" t="s">
        <v>529</v>
      </c>
      <c r="AN481" t="s">
        <v>686</v>
      </c>
      <c r="AO481" t="s">
        <v>2138</v>
      </c>
      <c r="AP481" t="s">
        <v>2139</v>
      </c>
      <c r="AQ481" t="s">
        <v>74</v>
      </c>
      <c r="AR481" t="s">
        <v>2140</v>
      </c>
      <c r="AS481" t="s">
        <v>2141</v>
      </c>
      <c r="AT481" t="s">
        <v>6941</v>
      </c>
      <c r="AU481">
        <v>2004</v>
      </c>
      <c r="AV481">
        <v>217</v>
      </c>
      <c r="AW481" t="s">
        <v>536</v>
      </c>
      <c r="AX481" t="s">
        <v>74</v>
      </c>
      <c r="AY481" t="s">
        <v>74</v>
      </c>
      <c r="AZ481" t="s">
        <v>74</v>
      </c>
      <c r="BA481" t="s">
        <v>74</v>
      </c>
      <c r="BB481">
        <v>183</v>
      </c>
      <c r="BC481">
        <v>195</v>
      </c>
      <c r="BD481" t="s">
        <v>74</v>
      </c>
      <c r="BE481" t="s">
        <v>6956</v>
      </c>
      <c r="BF481" t="str">
        <f>HYPERLINK("http://dx.doi.org/10.1016/S0012-821X(03)00574-0","http://dx.doi.org/10.1016/S0012-821X(03)00574-0")</f>
        <v>http://dx.doi.org/10.1016/S0012-821X(03)00574-0</v>
      </c>
      <c r="BG481" t="s">
        <v>74</v>
      </c>
      <c r="BH481" t="s">
        <v>74</v>
      </c>
      <c r="BI481">
        <v>13</v>
      </c>
      <c r="BJ481" t="s">
        <v>262</v>
      </c>
      <c r="BK481" t="s">
        <v>96</v>
      </c>
      <c r="BL481" t="s">
        <v>262</v>
      </c>
      <c r="BM481" t="s">
        <v>6943</v>
      </c>
      <c r="BN481" t="s">
        <v>74</v>
      </c>
      <c r="BO481" t="s">
        <v>156</v>
      </c>
      <c r="BP481" t="s">
        <v>74</v>
      </c>
      <c r="BQ481" t="s">
        <v>74</v>
      </c>
      <c r="BR481" t="s">
        <v>99</v>
      </c>
      <c r="BS481" t="s">
        <v>6957</v>
      </c>
      <c r="BT481" t="str">
        <f>HYPERLINK("https%3A%2F%2Fwww.webofscience.com%2Fwos%2Fwoscc%2Ffull-record%2FWOS:000187781600015","View Full Record in Web of Science")</f>
        <v>View Full Record in Web of Science</v>
      </c>
    </row>
    <row r="482" spans="1:72" x14ac:dyDescent="0.15">
      <c r="A482" t="s">
        <v>72</v>
      </c>
      <c r="B482" t="s">
        <v>6958</v>
      </c>
      <c r="C482" t="s">
        <v>74</v>
      </c>
      <c r="D482" t="s">
        <v>74</v>
      </c>
      <c r="E482" t="s">
        <v>74</v>
      </c>
      <c r="F482" t="s">
        <v>6958</v>
      </c>
      <c r="G482" t="s">
        <v>74</v>
      </c>
      <c r="H482" t="s">
        <v>74</v>
      </c>
      <c r="I482" t="s">
        <v>6959</v>
      </c>
      <c r="J482" t="s">
        <v>6960</v>
      </c>
      <c r="K482" t="s">
        <v>74</v>
      </c>
      <c r="L482" t="s">
        <v>74</v>
      </c>
      <c r="M482" t="s">
        <v>77</v>
      </c>
      <c r="N482" t="s">
        <v>78</v>
      </c>
      <c r="O482" t="s">
        <v>74</v>
      </c>
      <c r="P482" t="s">
        <v>74</v>
      </c>
      <c r="Q482" t="s">
        <v>74</v>
      </c>
      <c r="R482" t="s">
        <v>74</v>
      </c>
      <c r="S482" t="s">
        <v>74</v>
      </c>
      <c r="T482" t="s">
        <v>6961</v>
      </c>
      <c r="U482" t="s">
        <v>6962</v>
      </c>
      <c r="V482" t="s">
        <v>6963</v>
      </c>
      <c r="W482" t="s">
        <v>6964</v>
      </c>
      <c r="X482" t="s">
        <v>6965</v>
      </c>
      <c r="Y482" t="s">
        <v>6966</v>
      </c>
      <c r="Z482" t="s">
        <v>6967</v>
      </c>
      <c r="AA482" t="s">
        <v>6968</v>
      </c>
      <c r="AB482" t="s">
        <v>6969</v>
      </c>
      <c r="AC482" t="s">
        <v>74</v>
      </c>
      <c r="AD482" t="s">
        <v>74</v>
      </c>
      <c r="AE482" t="s">
        <v>74</v>
      </c>
      <c r="AF482" t="s">
        <v>74</v>
      </c>
      <c r="AG482">
        <v>55</v>
      </c>
      <c r="AH482">
        <v>71</v>
      </c>
      <c r="AI482">
        <v>72</v>
      </c>
      <c r="AJ482">
        <v>1</v>
      </c>
      <c r="AK482">
        <v>10</v>
      </c>
      <c r="AL482" t="s">
        <v>86</v>
      </c>
      <c r="AM482" t="s">
        <v>87</v>
      </c>
      <c r="AN482" t="s">
        <v>2007</v>
      </c>
      <c r="AO482" t="s">
        <v>74</v>
      </c>
      <c r="AP482" t="s">
        <v>6970</v>
      </c>
      <c r="AQ482" t="s">
        <v>74</v>
      </c>
      <c r="AR482" t="s">
        <v>6971</v>
      </c>
      <c r="AS482" t="s">
        <v>6972</v>
      </c>
      <c r="AT482" t="s">
        <v>74</v>
      </c>
      <c r="AU482">
        <v>2004</v>
      </c>
      <c r="AV482">
        <v>56</v>
      </c>
      <c r="AW482">
        <v>1</v>
      </c>
      <c r="AX482" t="s">
        <v>74</v>
      </c>
      <c r="AY482" t="s">
        <v>74</v>
      </c>
      <c r="AZ482" t="s">
        <v>74</v>
      </c>
      <c r="BA482" t="s">
        <v>74</v>
      </c>
      <c r="BB482">
        <v>67</v>
      </c>
      <c r="BC482">
        <v>79</v>
      </c>
      <c r="BD482" t="s">
        <v>74</v>
      </c>
      <c r="BE482" t="s">
        <v>6973</v>
      </c>
      <c r="BF482" t="str">
        <f>HYPERLINK("http://dx.doi.org/10.1186/BF03352491","http://dx.doi.org/10.1186/BF03352491")</f>
        <v>http://dx.doi.org/10.1186/BF03352491</v>
      </c>
      <c r="BG482" t="s">
        <v>74</v>
      </c>
      <c r="BH482" t="s">
        <v>74</v>
      </c>
      <c r="BI482">
        <v>13</v>
      </c>
      <c r="BJ482" t="s">
        <v>560</v>
      </c>
      <c r="BK482" t="s">
        <v>96</v>
      </c>
      <c r="BL482" t="s">
        <v>561</v>
      </c>
      <c r="BM482" t="s">
        <v>6974</v>
      </c>
      <c r="BN482" t="s">
        <v>74</v>
      </c>
      <c r="BO482" t="s">
        <v>2610</v>
      </c>
      <c r="BP482" t="s">
        <v>74</v>
      </c>
      <c r="BQ482" t="s">
        <v>74</v>
      </c>
      <c r="BR482" t="s">
        <v>99</v>
      </c>
      <c r="BS482" t="s">
        <v>6975</v>
      </c>
      <c r="BT482" t="str">
        <f>HYPERLINK("https%3A%2F%2Fwww.webofscience.com%2Fwos%2Fwoscc%2Ffull-record%2FWOS:000220843700006","View Full Record in Web of Science")</f>
        <v>View Full Record in Web of Science</v>
      </c>
    </row>
    <row r="483" spans="1:72" x14ac:dyDescent="0.15">
      <c r="A483" t="s">
        <v>72</v>
      </c>
      <c r="B483" t="s">
        <v>6976</v>
      </c>
      <c r="C483" t="s">
        <v>74</v>
      </c>
      <c r="D483" t="s">
        <v>74</v>
      </c>
      <c r="E483" t="s">
        <v>74</v>
      </c>
      <c r="F483" t="s">
        <v>6976</v>
      </c>
      <c r="G483" t="s">
        <v>74</v>
      </c>
      <c r="H483" t="s">
        <v>74</v>
      </c>
      <c r="I483" t="s">
        <v>6977</v>
      </c>
      <c r="J483" t="s">
        <v>6960</v>
      </c>
      <c r="K483" t="s">
        <v>74</v>
      </c>
      <c r="L483" t="s">
        <v>74</v>
      </c>
      <c r="M483" t="s">
        <v>77</v>
      </c>
      <c r="N483" t="s">
        <v>78</v>
      </c>
      <c r="O483" t="s">
        <v>74</v>
      </c>
      <c r="P483" t="s">
        <v>74</v>
      </c>
      <c r="Q483" t="s">
        <v>74</v>
      </c>
      <c r="R483" t="s">
        <v>74</v>
      </c>
      <c r="S483" t="s">
        <v>74</v>
      </c>
      <c r="T483" t="s">
        <v>6978</v>
      </c>
      <c r="U483" t="s">
        <v>6979</v>
      </c>
      <c r="V483" t="s">
        <v>6980</v>
      </c>
      <c r="W483" t="s">
        <v>6981</v>
      </c>
      <c r="X483" t="s">
        <v>6982</v>
      </c>
      <c r="Y483" t="s">
        <v>6983</v>
      </c>
      <c r="Z483" t="s">
        <v>6984</v>
      </c>
      <c r="AA483" t="s">
        <v>6985</v>
      </c>
      <c r="AB483" t="s">
        <v>6986</v>
      </c>
      <c r="AC483" t="s">
        <v>74</v>
      </c>
      <c r="AD483" t="s">
        <v>74</v>
      </c>
      <c r="AE483" t="s">
        <v>74</v>
      </c>
      <c r="AF483" t="s">
        <v>74</v>
      </c>
      <c r="AG483">
        <v>50</v>
      </c>
      <c r="AH483">
        <v>17</v>
      </c>
      <c r="AI483">
        <v>20</v>
      </c>
      <c r="AJ483">
        <v>0</v>
      </c>
      <c r="AK483">
        <v>5</v>
      </c>
      <c r="AL483" t="s">
        <v>86</v>
      </c>
      <c r="AM483" t="s">
        <v>87</v>
      </c>
      <c r="AN483" t="s">
        <v>2007</v>
      </c>
      <c r="AO483" t="s">
        <v>74</v>
      </c>
      <c r="AP483" t="s">
        <v>6970</v>
      </c>
      <c r="AQ483" t="s">
        <v>74</v>
      </c>
      <c r="AR483" t="s">
        <v>6971</v>
      </c>
      <c r="AS483" t="s">
        <v>6972</v>
      </c>
      <c r="AT483" t="s">
        <v>74</v>
      </c>
      <c r="AU483">
        <v>2004</v>
      </c>
      <c r="AV483">
        <v>56</v>
      </c>
      <c r="AW483">
        <v>10</v>
      </c>
      <c r="AX483" t="s">
        <v>74</v>
      </c>
      <c r="AY483" t="s">
        <v>74</v>
      </c>
      <c r="AZ483" t="s">
        <v>74</v>
      </c>
      <c r="BA483" t="s">
        <v>74</v>
      </c>
      <c r="BB483">
        <v>955</v>
      </c>
      <c r="BC483">
        <v>966</v>
      </c>
      <c r="BD483" t="s">
        <v>74</v>
      </c>
      <c r="BE483" t="s">
        <v>6987</v>
      </c>
      <c r="BF483" t="str">
        <f>HYPERLINK("http://dx.doi.org/10.1186/BF03351793","http://dx.doi.org/10.1186/BF03351793")</f>
        <v>http://dx.doi.org/10.1186/BF03351793</v>
      </c>
      <c r="BG483" t="s">
        <v>74</v>
      </c>
      <c r="BH483" t="s">
        <v>74</v>
      </c>
      <c r="BI483">
        <v>12</v>
      </c>
      <c r="BJ483" t="s">
        <v>560</v>
      </c>
      <c r="BK483" t="s">
        <v>96</v>
      </c>
      <c r="BL483" t="s">
        <v>561</v>
      </c>
      <c r="BM483" t="s">
        <v>6988</v>
      </c>
      <c r="BN483" t="s">
        <v>74</v>
      </c>
      <c r="BO483" t="s">
        <v>2610</v>
      </c>
      <c r="BP483" t="s">
        <v>74</v>
      </c>
      <c r="BQ483" t="s">
        <v>74</v>
      </c>
      <c r="BR483" t="s">
        <v>99</v>
      </c>
      <c r="BS483" t="s">
        <v>6989</v>
      </c>
      <c r="BT483" t="str">
        <f>HYPERLINK("https%3A%2F%2Fwww.webofscience.com%2Fwos%2Fwoscc%2Ffull-record%2FWOS:000225097700003","View Full Record in Web of Science")</f>
        <v>View Full Record in Web of Science</v>
      </c>
    </row>
    <row r="484" spans="1:72" x14ac:dyDescent="0.15">
      <c r="A484" t="s">
        <v>3934</v>
      </c>
      <c r="B484" t="s">
        <v>6990</v>
      </c>
      <c r="C484" t="s">
        <v>74</v>
      </c>
      <c r="D484" t="s">
        <v>6991</v>
      </c>
      <c r="E484" t="s">
        <v>74</v>
      </c>
      <c r="F484" t="s">
        <v>6990</v>
      </c>
      <c r="G484" t="s">
        <v>74</v>
      </c>
      <c r="H484" t="s">
        <v>74</v>
      </c>
      <c r="I484" t="s">
        <v>6992</v>
      </c>
      <c r="J484" t="s">
        <v>6993</v>
      </c>
      <c r="K484" t="s">
        <v>6994</v>
      </c>
      <c r="L484" t="s">
        <v>74</v>
      </c>
      <c r="M484" t="s">
        <v>77</v>
      </c>
      <c r="N484" t="s">
        <v>3940</v>
      </c>
      <c r="O484" t="s">
        <v>6995</v>
      </c>
      <c r="P484" t="s">
        <v>6996</v>
      </c>
      <c r="Q484" t="s">
        <v>6997</v>
      </c>
      <c r="R484" t="s">
        <v>74</v>
      </c>
      <c r="S484" t="s">
        <v>74</v>
      </c>
      <c r="T484" t="s">
        <v>74</v>
      </c>
      <c r="U484" t="s">
        <v>6998</v>
      </c>
      <c r="V484" t="s">
        <v>6999</v>
      </c>
      <c r="W484" t="s">
        <v>7000</v>
      </c>
      <c r="X484" t="s">
        <v>7001</v>
      </c>
      <c r="Y484" t="s">
        <v>7002</v>
      </c>
      <c r="Z484" t="s">
        <v>7003</v>
      </c>
      <c r="AA484" t="s">
        <v>7004</v>
      </c>
      <c r="AB484" t="s">
        <v>7005</v>
      </c>
      <c r="AC484" t="s">
        <v>74</v>
      </c>
      <c r="AD484" t="s">
        <v>74</v>
      </c>
      <c r="AE484" t="s">
        <v>74</v>
      </c>
      <c r="AF484" t="s">
        <v>74</v>
      </c>
      <c r="AG484">
        <v>137</v>
      </c>
      <c r="AH484">
        <v>78</v>
      </c>
      <c r="AI484">
        <v>88</v>
      </c>
      <c r="AJ484">
        <v>0</v>
      </c>
      <c r="AK484">
        <v>6</v>
      </c>
      <c r="AL484" t="s">
        <v>363</v>
      </c>
      <c r="AM484" t="s">
        <v>364</v>
      </c>
      <c r="AN484" t="s">
        <v>365</v>
      </c>
      <c r="AO484" t="s">
        <v>7006</v>
      </c>
      <c r="AP484" t="s">
        <v>74</v>
      </c>
      <c r="AQ484" t="s">
        <v>7007</v>
      </c>
      <c r="AR484" t="s">
        <v>7008</v>
      </c>
      <c r="AS484" t="s">
        <v>74</v>
      </c>
      <c r="AT484" t="s">
        <v>74</v>
      </c>
      <c r="AU484">
        <v>2004</v>
      </c>
      <c r="AV484">
        <v>147</v>
      </c>
      <c r="AW484" t="s">
        <v>74</v>
      </c>
      <c r="AX484" t="s">
        <v>74</v>
      </c>
      <c r="AY484" t="s">
        <v>74</v>
      </c>
      <c r="AZ484" t="s">
        <v>74</v>
      </c>
      <c r="BA484" t="s">
        <v>74</v>
      </c>
      <c r="BB484">
        <v>1</v>
      </c>
      <c r="BC484">
        <v>19</v>
      </c>
      <c r="BD484" t="s">
        <v>74</v>
      </c>
      <c r="BE484" t="s">
        <v>74</v>
      </c>
      <c r="BF484" t="s">
        <v>74</v>
      </c>
      <c r="BG484" t="s">
        <v>74</v>
      </c>
      <c r="BH484" t="s">
        <v>74</v>
      </c>
      <c r="BI484">
        <v>19</v>
      </c>
      <c r="BJ484" t="s">
        <v>7009</v>
      </c>
      <c r="BK484" t="s">
        <v>3955</v>
      </c>
      <c r="BL484" t="s">
        <v>7009</v>
      </c>
      <c r="BM484" t="s">
        <v>7010</v>
      </c>
      <c r="BN484">
        <v>15133888</v>
      </c>
      <c r="BO484" t="s">
        <v>74</v>
      </c>
      <c r="BP484" t="s">
        <v>74</v>
      </c>
      <c r="BQ484" t="s">
        <v>74</v>
      </c>
      <c r="BR484" t="s">
        <v>99</v>
      </c>
      <c r="BS484" t="s">
        <v>7011</v>
      </c>
      <c r="BT484" t="str">
        <f>HYPERLINK("https%3A%2F%2Fwww.webofscience.com%2Fwos%2Fwoscc%2Ffull-record%2FWOS:000225756500001","View Full Record in Web of Science")</f>
        <v>View Full Record in Web of Science</v>
      </c>
    </row>
    <row r="485" spans="1:72" x14ac:dyDescent="0.15">
      <c r="A485" t="s">
        <v>72</v>
      </c>
      <c r="B485" t="s">
        <v>7012</v>
      </c>
      <c r="C485" t="s">
        <v>74</v>
      </c>
      <c r="D485" t="s">
        <v>74</v>
      </c>
      <c r="E485" t="s">
        <v>74</v>
      </c>
      <c r="F485" t="s">
        <v>7012</v>
      </c>
      <c r="G485" t="s">
        <v>74</v>
      </c>
      <c r="H485" t="s">
        <v>74</v>
      </c>
      <c r="I485" t="s">
        <v>7013</v>
      </c>
      <c r="J485" t="s">
        <v>7014</v>
      </c>
      <c r="K485" t="s">
        <v>74</v>
      </c>
      <c r="L485" t="s">
        <v>74</v>
      </c>
      <c r="M485" t="s">
        <v>77</v>
      </c>
      <c r="N485" t="s">
        <v>78</v>
      </c>
      <c r="O485" t="s">
        <v>74</v>
      </c>
      <c r="P485" t="s">
        <v>74</v>
      </c>
      <c r="Q485" t="s">
        <v>74</v>
      </c>
      <c r="R485" t="s">
        <v>74</v>
      </c>
      <c r="S485" t="s">
        <v>74</v>
      </c>
      <c r="T485" t="s">
        <v>74</v>
      </c>
      <c r="U485" t="s">
        <v>7015</v>
      </c>
      <c r="V485" t="s">
        <v>7016</v>
      </c>
      <c r="W485" t="s">
        <v>7017</v>
      </c>
      <c r="X485" t="s">
        <v>7018</v>
      </c>
      <c r="Y485" t="s">
        <v>83</v>
      </c>
      <c r="Z485" t="s">
        <v>7019</v>
      </c>
      <c r="AA485" t="s">
        <v>7020</v>
      </c>
      <c r="AB485" t="s">
        <v>7021</v>
      </c>
      <c r="AC485" t="s">
        <v>74</v>
      </c>
      <c r="AD485" t="s">
        <v>74</v>
      </c>
      <c r="AE485" t="s">
        <v>74</v>
      </c>
      <c r="AF485" t="s">
        <v>74</v>
      </c>
      <c r="AG485">
        <v>24</v>
      </c>
      <c r="AH485">
        <v>11</v>
      </c>
      <c r="AI485">
        <v>12</v>
      </c>
      <c r="AJ485">
        <v>0</v>
      </c>
      <c r="AK485">
        <v>2</v>
      </c>
      <c r="AL485" t="s">
        <v>7022</v>
      </c>
      <c r="AM485" t="s">
        <v>7023</v>
      </c>
      <c r="AN485" t="s">
        <v>7024</v>
      </c>
      <c r="AO485" t="s">
        <v>7025</v>
      </c>
      <c r="AP485" t="s">
        <v>7026</v>
      </c>
      <c r="AQ485" t="s">
        <v>74</v>
      </c>
      <c r="AR485" t="s">
        <v>7027</v>
      </c>
      <c r="AS485" t="s">
        <v>7028</v>
      </c>
      <c r="AT485" t="s">
        <v>74</v>
      </c>
      <c r="AU485">
        <v>2004</v>
      </c>
      <c r="AV485">
        <v>104</v>
      </c>
      <c r="AW485">
        <v>4</v>
      </c>
      <c r="AX485" t="s">
        <v>74</v>
      </c>
      <c r="AY485" t="s">
        <v>74</v>
      </c>
      <c r="AZ485" t="s">
        <v>74</v>
      </c>
      <c r="BA485" t="s">
        <v>74</v>
      </c>
      <c r="BB485">
        <v>359</v>
      </c>
      <c r="BC485">
        <v>361</v>
      </c>
      <c r="BD485" t="s">
        <v>74</v>
      </c>
      <c r="BE485" t="s">
        <v>7029</v>
      </c>
      <c r="BF485" t="str">
        <f>HYPERLINK("http://dx.doi.org/10.1071/MU03057","http://dx.doi.org/10.1071/MU03057")</f>
        <v>http://dx.doi.org/10.1071/MU03057</v>
      </c>
      <c r="BG485" t="s">
        <v>74</v>
      </c>
      <c r="BH485" t="s">
        <v>74</v>
      </c>
      <c r="BI485">
        <v>3</v>
      </c>
      <c r="BJ485" t="s">
        <v>1553</v>
      </c>
      <c r="BK485" t="s">
        <v>96</v>
      </c>
      <c r="BL485" t="s">
        <v>331</v>
      </c>
      <c r="BM485" t="s">
        <v>7030</v>
      </c>
      <c r="BN485" t="s">
        <v>74</v>
      </c>
      <c r="BO485" t="s">
        <v>74</v>
      </c>
      <c r="BP485" t="s">
        <v>74</v>
      </c>
      <c r="BQ485" t="s">
        <v>74</v>
      </c>
      <c r="BR485" t="s">
        <v>99</v>
      </c>
      <c r="BS485" t="s">
        <v>7031</v>
      </c>
      <c r="BT485" t="str">
        <f>HYPERLINK("https%3A%2F%2Fwww.webofscience.com%2Fwos%2Fwoscc%2Ffull-record%2FWOS:000225769300007","View Full Record in Web of Science")</f>
        <v>View Full Record in Web of Science</v>
      </c>
    </row>
    <row r="486" spans="1:72" x14ac:dyDescent="0.15">
      <c r="A486" t="s">
        <v>3934</v>
      </c>
      <c r="B486" t="s">
        <v>7032</v>
      </c>
      <c r="C486" t="s">
        <v>74</v>
      </c>
      <c r="D486" t="s">
        <v>7033</v>
      </c>
      <c r="E486" t="s">
        <v>74</v>
      </c>
      <c r="F486" t="s">
        <v>7032</v>
      </c>
      <c r="G486" t="s">
        <v>74</v>
      </c>
      <c r="H486" t="s">
        <v>74</v>
      </c>
      <c r="I486" t="s">
        <v>7034</v>
      </c>
      <c r="J486" t="s">
        <v>7035</v>
      </c>
      <c r="K486" t="s">
        <v>74</v>
      </c>
      <c r="L486" t="s">
        <v>74</v>
      </c>
      <c r="M486" t="s">
        <v>77</v>
      </c>
      <c r="N486" t="s">
        <v>3940</v>
      </c>
      <c r="O486" t="s">
        <v>7036</v>
      </c>
      <c r="P486" t="s">
        <v>7037</v>
      </c>
      <c r="Q486" t="s">
        <v>7038</v>
      </c>
      <c r="R486" t="s">
        <v>74</v>
      </c>
      <c r="S486" t="s">
        <v>74</v>
      </c>
      <c r="T486" t="s">
        <v>74</v>
      </c>
      <c r="U486" t="s">
        <v>74</v>
      </c>
      <c r="V486" t="s">
        <v>7039</v>
      </c>
      <c r="W486" t="s">
        <v>7040</v>
      </c>
      <c r="X486" t="s">
        <v>7041</v>
      </c>
      <c r="Y486" t="s">
        <v>7042</v>
      </c>
      <c r="Z486" t="s">
        <v>74</v>
      </c>
      <c r="AA486" t="s">
        <v>74</v>
      </c>
      <c r="AB486" t="s">
        <v>74</v>
      </c>
      <c r="AC486" t="s">
        <v>74</v>
      </c>
      <c r="AD486" t="s">
        <v>74</v>
      </c>
      <c r="AE486" t="s">
        <v>74</v>
      </c>
      <c r="AF486" t="s">
        <v>74</v>
      </c>
      <c r="AG486">
        <v>0</v>
      </c>
      <c r="AH486">
        <v>0</v>
      </c>
      <c r="AI486">
        <v>0</v>
      </c>
      <c r="AJ486">
        <v>0</v>
      </c>
      <c r="AK486">
        <v>2</v>
      </c>
      <c r="AL486" t="s">
        <v>7043</v>
      </c>
      <c r="AM486" t="s">
        <v>87</v>
      </c>
      <c r="AN486" t="s">
        <v>7044</v>
      </c>
      <c r="AO486" t="s">
        <v>74</v>
      </c>
      <c r="AP486" t="s">
        <v>74</v>
      </c>
      <c r="AQ486" t="s">
        <v>7045</v>
      </c>
      <c r="AR486" t="s">
        <v>74</v>
      </c>
      <c r="AS486" t="s">
        <v>74</v>
      </c>
      <c r="AT486" t="s">
        <v>74</v>
      </c>
      <c r="AU486">
        <v>2004</v>
      </c>
      <c r="AV486" t="s">
        <v>74</v>
      </c>
      <c r="AW486" t="s">
        <v>74</v>
      </c>
      <c r="AX486" t="s">
        <v>74</v>
      </c>
      <c r="AY486" t="s">
        <v>74</v>
      </c>
      <c r="AZ486" t="s">
        <v>74</v>
      </c>
      <c r="BA486" t="s">
        <v>74</v>
      </c>
      <c r="BB486">
        <v>719</v>
      </c>
      <c r="BC486">
        <v>726</v>
      </c>
      <c r="BD486" t="s">
        <v>74</v>
      </c>
      <c r="BE486" t="s">
        <v>74</v>
      </c>
      <c r="BF486" t="s">
        <v>74</v>
      </c>
      <c r="BG486" t="s">
        <v>74</v>
      </c>
      <c r="BH486" t="s">
        <v>74</v>
      </c>
      <c r="BI486">
        <v>8</v>
      </c>
      <c r="BJ486" t="s">
        <v>3954</v>
      </c>
      <c r="BK486" t="s">
        <v>3955</v>
      </c>
      <c r="BL486" t="s">
        <v>3956</v>
      </c>
      <c r="BM486" t="s">
        <v>7046</v>
      </c>
      <c r="BN486" t="s">
        <v>74</v>
      </c>
      <c r="BO486" t="s">
        <v>74</v>
      </c>
      <c r="BP486" t="s">
        <v>74</v>
      </c>
      <c r="BQ486" t="s">
        <v>74</v>
      </c>
      <c r="BR486" t="s">
        <v>99</v>
      </c>
      <c r="BS486" t="s">
        <v>7047</v>
      </c>
      <c r="BT486" t="str">
        <f>HYPERLINK("https%3A%2F%2Fwww.webofscience.com%2Fwos%2Fwoscc%2Ffull-record%2FWOS:000227944400099","View Full Record in Web of Science")</f>
        <v>View Full Record in Web of Science</v>
      </c>
    </row>
    <row r="487" spans="1:72" x14ac:dyDescent="0.15">
      <c r="A487" t="s">
        <v>72</v>
      </c>
      <c r="B487" t="s">
        <v>7048</v>
      </c>
      <c r="C487" t="s">
        <v>74</v>
      </c>
      <c r="D487" t="s">
        <v>74</v>
      </c>
      <c r="E487" t="s">
        <v>74</v>
      </c>
      <c r="F487" t="s">
        <v>7049</v>
      </c>
      <c r="G487" t="s">
        <v>74</v>
      </c>
      <c r="H487" t="s">
        <v>74</v>
      </c>
      <c r="I487" t="s">
        <v>7050</v>
      </c>
      <c r="J487" t="s">
        <v>7051</v>
      </c>
      <c r="K487" t="s">
        <v>74</v>
      </c>
      <c r="L487" t="s">
        <v>74</v>
      </c>
      <c r="M487" t="s">
        <v>77</v>
      </c>
      <c r="N487" t="s">
        <v>78</v>
      </c>
      <c r="O487" t="s">
        <v>74</v>
      </c>
      <c r="P487" t="s">
        <v>74</v>
      </c>
      <c r="Q487" t="s">
        <v>74</v>
      </c>
      <c r="R487" t="s">
        <v>74</v>
      </c>
      <c r="S487" t="s">
        <v>74</v>
      </c>
      <c r="T487" t="s">
        <v>7052</v>
      </c>
      <c r="U487" t="s">
        <v>74</v>
      </c>
      <c r="V487" t="s">
        <v>7053</v>
      </c>
      <c r="W487" t="s">
        <v>7054</v>
      </c>
      <c r="X487" t="s">
        <v>7055</v>
      </c>
      <c r="Y487" t="s">
        <v>7056</v>
      </c>
      <c r="Z487" t="s">
        <v>7057</v>
      </c>
      <c r="AA487" t="s">
        <v>7058</v>
      </c>
      <c r="AB487" t="s">
        <v>7059</v>
      </c>
      <c r="AC487" t="s">
        <v>7060</v>
      </c>
      <c r="AD487" t="s">
        <v>7060</v>
      </c>
      <c r="AE487" t="s">
        <v>7061</v>
      </c>
      <c r="AF487" t="s">
        <v>74</v>
      </c>
      <c r="AG487">
        <v>20</v>
      </c>
      <c r="AH487">
        <v>12</v>
      </c>
      <c r="AI487">
        <v>12</v>
      </c>
      <c r="AJ487">
        <v>0</v>
      </c>
      <c r="AK487">
        <v>5</v>
      </c>
      <c r="AL487" t="s">
        <v>5554</v>
      </c>
      <c r="AM487" t="s">
        <v>7062</v>
      </c>
      <c r="AN487" t="s">
        <v>7063</v>
      </c>
      <c r="AO487" t="s">
        <v>7064</v>
      </c>
      <c r="AP487" t="s">
        <v>74</v>
      </c>
      <c r="AQ487" t="s">
        <v>74</v>
      </c>
      <c r="AR487" t="s">
        <v>7065</v>
      </c>
      <c r="AS487" t="s">
        <v>7066</v>
      </c>
      <c r="AT487" t="s">
        <v>74</v>
      </c>
      <c r="AU487">
        <v>2004</v>
      </c>
      <c r="AV487">
        <v>1</v>
      </c>
      <c r="AW487">
        <v>2</v>
      </c>
      <c r="AX487" t="s">
        <v>74</v>
      </c>
      <c r="AY487" t="s">
        <v>74</v>
      </c>
      <c r="AZ487" t="s">
        <v>74</v>
      </c>
      <c r="BA487" t="s">
        <v>74</v>
      </c>
      <c r="BB487">
        <v>90</v>
      </c>
      <c r="BC487">
        <v>94</v>
      </c>
      <c r="BD487" t="s">
        <v>74</v>
      </c>
      <c r="BE487" t="s">
        <v>7067</v>
      </c>
      <c r="BF487" t="str">
        <f>HYPERLINK("http://dx.doi.org/10.1071/EN04029","http://dx.doi.org/10.1071/EN04029")</f>
        <v>http://dx.doi.org/10.1071/EN04029</v>
      </c>
      <c r="BG487" t="s">
        <v>74</v>
      </c>
      <c r="BH487" t="s">
        <v>74</v>
      </c>
      <c r="BI487">
        <v>5</v>
      </c>
      <c r="BJ487" t="s">
        <v>7068</v>
      </c>
      <c r="BK487" t="s">
        <v>96</v>
      </c>
      <c r="BL487" t="s">
        <v>7069</v>
      </c>
      <c r="BM487" t="s">
        <v>7070</v>
      </c>
      <c r="BN487" t="s">
        <v>74</v>
      </c>
      <c r="BO487" t="s">
        <v>74</v>
      </c>
      <c r="BP487" t="s">
        <v>74</v>
      </c>
      <c r="BQ487" t="s">
        <v>74</v>
      </c>
      <c r="BR487" t="s">
        <v>99</v>
      </c>
      <c r="BS487" t="s">
        <v>7071</v>
      </c>
      <c r="BT487" t="str">
        <f>HYPERLINK("https%3A%2F%2Fwww.webofscience.com%2Fwos%2Fwoscc%2Ffull-record%2FWOS:000207050500005","View Full Record in Web of Science")</f>
        <v>View Full Record in Web of Science</v>
      </c>
    </row>
    <row r="488" spans="1:72" x14ac:dyDescent="0.15">
      <c r="A488" t="s">
        <v>72</v>
      </c>
      <c r="B488" t="s">
        <v>7072</v>
      </c>
      <c r="C488" t="s">
        <v>74</v>
      </c>
      <c r="D488" t="s">
        <v>74</v>
      </c>
      <c r="E488" t="s">
        <v>74</v>
      </c>
      <c r="F488" t="s">
        <v>7072</v>
      </c>
      <c r="G488" t="s">
        <v>74</v>
      </c>
      <c r="H488" t="s">
        <v>74</v>
      </c>
      <c r="I488" t="s">
        <v>7073</v>
      </c>
      <c r="J488" t="s">
        <v>1226</v>
      </c>
      <c r="K488" t="s">
        <v>74</v>
      </c>
      <c r="L488" t="s">
        <v>74</v>
      </c>
      <c r="M488" t="s">
        <v>77</v>
      </c>
      <c r="N488" t="s">
        <v>78</v>
      </c>
      <c r="O488" t="s">
        <v>74</v>
      </c>
      <c r="P488" t="s">
        <v>74</v>
      </c>
      <c r="Q488" t="s">
        <v>74</v>
      </c>
      <c r="R488" t="s">
        <v>74</v>
      </c>
      <c r="S488" t="s">
        <v>74</v>
      </c>
      <c r="T488" t="s">
        <v>74</v>
      </c>
      <c r="U488" t="s">
        <v>7074</v>
      </c>
      <c r="V488" t="s">
        <v>7075</v>
      </c>
      <c r="W488" t="s">
        <v>7076</v>
      </c>
      <c r="X488" t="s">
        <v>7077</v>
      </c>
      <c r="Y488" t="s">
        <v>7078</v>
      </c>
      <c r="Z488" t="s">
        <v>74</v>
      </c>
      <c r="AA488" t="s">
        <v>7079</v>
      </c>
      <c r="AB488" t="s">
        <v>7080</v>
      </c>
      <c r="AC488" t="s">
        <v>74</v>
      </c>
      <c r="AD488" t="s">
        <v>74</v>
      </c>
      <c r="AE488" t="s">
        <v>74</v>
      </c>
      <c r="AF488" t="s">
        <v>74</v>
      </c>
      <c r="AG488">
        <v>66</v>
      </c>
      <c r="AH488">
        <v>68</v>
      </c>
      <c r="AI488">
        <v>79</v>
      </c>
      <c r="AJ488">
        <v>0</v>
      </c>
      <c r="AK488">
        <v>15</v>
      </c>
      <c r="AL488" t="s">
        <v>1235</v>
      </c>
      <c r="AM488" t="s">
        <v>214</v>
      </c>
      <c r="AN488" t="s">
        <v>1236</v>
      </c>
      <c r="AO488" t="s">
        <v>1237</v>
      </c>
      <c r="AP488" t="s">
        <v>74</v>
      </c>
      <c r="AQ488" t="s">
        <v>74</v>
      </c>
      <c r="AR488" t="s">
        <v>1238</v>
      </c>
      <c r="AS488" t="s">
        <v>1239</v>
      </c>
      <c r="AT488" t="s">
        <v>4117</v>
      </c>
      <c r="AU488">
        <v>2004</v>
      </c>
      <c r="AV488">
        <v>6</v>
      </c>
      <c r="AW488">
        <v>1</v>
      </c>
      <c r="AX488" t="s">
        <v>74</v>
      </c>
      <c r="AY488" t="s">
        <v>74</v>
      </c>
      <c r="AZ488" t="s">
        <v>74</v>
      </c>
      <c r="BA488" t="s">
        <v>74</v>
      </c>
      <c r="BB488">
        <v>19</v>
      </c>
      <c r="BC488">
        <v>34</v>
      </c>
      <c r="BD488" t="s">
        <v>74</v>
      </c>
      <c r="BE488" t="s">
        <v>7081</v>
      </c>
      <c r="BF488" t="str">
        <f>HYPERLINK("http://dx.doi.org/10.1046/j.1462-2920.2003.00533.x","http://dx.doi.org/10.1046/j.1462-2920.2003.00533.x")</f>
        <v>http://dx.doi.org/10.1046/j.1462-2920.2003.00533.x</v>
      </c>
      <c r="BG488" t="s">
        <v>74</v>
      </c>
      <c r="BH488" t="s">
        <v>74</v>
      </c>
      <c r="BI488">
        <v>16</v>
      </c>
      <c r="BJ488" t="s">
        <v>743</v>
      </c>
      <c r="BK488" t="s">
        <v>96</v>
      </c>
      <c r="BL488" t="s">
        <v>743</v>
      </c>
      <c r="BM488" t="s">
        <v>7082</v>
      </c>
      <c r="BN488">
        <v>14686938</v>
      </c>
      <c r="BO488" t="s">
        <v>74</v>
      </c>
      <c r="BP488" t="s">
        <v>74</v>
      </c>
      <c r="BQ488" t="s">
        <v>74</v>
      </c>
      <c r="BR488" t="s">
        <v>99</v>
      </c>
      <c r="BS488" t="s">
        <v>7083</v>
      </c>
      <c r="BT488" t="str">
        <f>HYPERLINK("https%3A%2F%2Fwww.webofscience.com%2Fwos%2Fwoscc%2Ffull-record%2FWOS:000187405300003","View Full Record in Web of Science")</f>
        <v>View Full Record in Web of Science</v>
      </c>
    </row>
    <row r="489" spans="1:72" x14ac:dyDescent="0.15">
      <c r="A489" t="s">
        <v>72</v>
      </c>
      <c r="B489" t="s">
        <v>7084</v>
      </c>
      <c r="C489" t="s">
        <v>74</v>
      </c>
      <c r="D489" t="s">
        <v>74</v>
      </c>
      <c r="E489" t="s">
        <v>74</v>
      </c>
      <c r="F489" t="s">
        <v>7084</v>
      </c>
      <c r="G489" t="s">
        <v>74</v>
      </c>
      <c r="H489" t="s">
        <v>74</v>
      </c>
      <c r="I489" t="s">
        <v>7085</v>
      </c>
      <c r="J489" t="s">
        <v>7086</v>
      </c>
      <c r="K489" t="s">
        <v>74</v>
      </c>
      <c r="L489" t="s">
        <v>74</v>
      </c>
      <c r="M489" t="s">
        <v>77</v>
      </c>
      <c r="N489" t="s">
        <v>78</v>
      </c>
      <c r="O489" t="s">
        <v>74</v>
      </c>
      <c r="P489" t="s">
        <v>74</v>
      </c>
      <c r="Q489" t="s">
        <v>74</v>
      </c>
      <c r="R489" t="s">
        <v>74</v>
      </c>
      <c r="S489" t="s">
        <v>74</v>
      </c>
      <c r="T489" t="s">
        <v>7087</v>
      </c>
      <c r="U489" t="s">
        <v>7088</v>
      </c>
      <c r="V489" t="s">
        <v>7089</v>
      </c>
      <c r="W489" t="s">
        <v>7090</v>
      </c>
      <c r="X489" t="s">
        <v>7091</v>
      </c>
      <c r="Y489" t="s">
        <v>7092</v>
      </c>
      <c r="Z489" t="s">
        <v>74</v>
      </c>
      <c r="AA489" t="s">
        <v>735</v>
      </c>
      <c r="AB489" t="s">
        <v>74</v>
      </c>
      <c r="AC489" t="s">
        <v>74</v>
      </c>
      <c r="AD489" t="s">
        <v>74</v>
      </c>
      <c r="AE489" t="s">
        <v>74</v>
      </c>
      <c r="AF489" t="s">
        <v>74</v>
      </c>
      <c r="AG489">
        <v>27</v>
      </c>
      <c r="AH489">
        <v>55</v>
      </c>
      <c r="AI489">
        <v>60</v>
      </c>
      <c r="AJ489">
        <v>5</v>
      </c>
      <c r="AK489">
        <v>27</v>
      </c>
      <c r="AL489" t="s">
        <v>2105</v>
      </c>
      <c r="AM489" t="s">
        <v>214</v>
      </c>
      <c r="AN489" t="s">
        <v>2106</v>
      </c>
      <c r="AO489" t="s">
        <v>7093</v>
      </c>
      <c r="AP489" t="s">
        <v>74</v>
      </c>
      <c r="AQ489" t="s">
        <v>74</v>
      </c>
      <c r="AR489" t="s">
        <v>7094</v>
      </c>
      <c r="AS489" t="s">
        <v>7095</v>
      </c>
      <c r="AT489" t="s">
        <v>74</v>
      </c>
      <c r="AU489">
        <v>2004</v>
      </c>
      <c r="AV489">
        <v>127</v>
      </c>
      <c r="AW489">
        <v>3</v>
      </c>
      <c r="AX489" t="s">
        <v>74</v>
      </c>
      <c r="AY489" t="s">
        <v>74</v>
      </c>
      <c r="AZ489" t="s">
        <v>74</v>
      </c>
      <c r="BA489" t="s">
        <v>74</v>
      </c>
      <c r="BB489">
        <v>315</v>
      </c>
      <c r="BC489">
        <v>321</v>
      </c>
      <c r="BD489" t="s">
        <v>74</v>
      </c>
      <c r="BE489" t="s">
        <v>7096</v>
      </c>
      <c r="BF489" t="str">
        <f>HYPERLINK("http://dx.doi.org/10.1016/j.envpol.2003.09.004","http://dx.doi.org/10.1016/j.envpol.2003.09.004")</f>
        <v>http://dx.doi.org/10.1016/j.envpol.2003.09.004</v>
      </c>
      <c r="BG489" t="s">
        <v>74</v>
      </c>
      <c r="BH489" t="s">
        <v>74</v>
      </c>
      <c r="BI489">
        <v>7</v>
      </c>
      <c r="BJ489" t="s">
        <v>1154</v>
      </c>
      <c r="BK489" t="s">
        <v>96</v>
      </c>
      <c r="BL489" t="s">
        <v>144</v>
      </c>
      <c r="BM489" t="s">
        <v>7097</v>
      </c>
      <c r="BN489">
        <v>14638291</v>
      </c>
      <c r="BO489" t="s">
        <v>74</v>
      </c>
      <c r="BP489" t="s">
        <v>74</v>
      </c>
      <c r="BQ489" t="s">
        <v>74</v>
      </c>
      <c r="BR489" t="s">
        <v>99</v>
      </c>
      <c r="BS489" t="s">
        <v>7098</v>
      </c>
      <c r="BT489" t="str">
        <f>HYPERLINK("https%3A%2F%2Fwww.webofscience.com%2Fwos%2Fwoscc%2Ffull-record%2FWOS:000187864000001","View Full Record in Web of Science")</f>
        <v>View Full Record in Web of Science</v>
      </c>
    </row>
    <row r="490" spans="1:72" x14ac:dyDescent="0.15">
      <c r="A490" t="s">
        <v>72</v>
      </c>
      <c r="B490" t="s">
        <v>7099</v>
      </c>
      <c r="C490" t="s">
        <v>74</v>
      </c>
      <c r="D490" t="s">
        <v>74</v>
      </c>
      <c r="E490" t="s">
        <v>74</v>
      </c>
      <c r="F490" t="s">
        <v>7099</v>
      </c>
      <c r="G490" t="s">
        <v>74</v>
      </c>
      <c r="H490" t="s">
        <v>74</v>
      </c>
      <c r="I490" t="s">
        <v>7100</v>
      </c>
      <c r="J490" t="s">
        <v>7101</v>
      </c>
      <c r="K490" t="s">
        <v>74</v>
      </c>
      <c r="L490" t="s">
        <v>74</v>
      </c>
      <c r="M490" t="s">
        <v>77</v>
      </c>
      <c r="N490" t="s">
        <v>268</v>
      </c>
      <c r="O490" t="s">
        <v>74</v>
      </c>
      <c r="P490" t="s">
        <v>74</v>
      </c>
      <c r="Q490" t="s">
        <v>74</v>
      </c>
      <c r="R490" t="s">
        <v>74</v>
      </c>
      <c r="S490" t="s">
        <v>74</v>
      </c>
      <c r="T490" t="s">
        <v>7102</v>
      </c>
      <c r="U490" t="s">
        <v>74</v>
      </c>
      <c r="V490" t="s">
        <v>7103</v>
      </c>
      <c r="W490" t="s">
        <v>7104</v>
      </c>
      <c r="X490" t="s">
        <v>7105</v>
      </c>
      <c r="Y490" t="s">
        <v>7106</v>
      </c>
      <c r="Z490" t="s">
        <v>7107</v>
      </c>
      <c r="AA490" t="s">
        <v>7108</v>
      </c>
      <c r="AB490" t="s">
        <v>7109</v>
      </c>
      <c r="AC490" t="s">
        <v>74</v>
      </c>
      <c r="AD490" t="s">
        <v>74</v>
      </c>
      <c r="AE490" t="s">
        <v>74</v>
      </c>
      <c r="AF490" t="s">
        <v>74</v>
      </c>
      <c r="AG490">
        <v>42</v>
      </c>
      <c r="AH490">
        <v>78</v>
      </c>
      <c r="AI490">
        <v>79</v>
      </c>
      <c r="AJ490">
        <v>1</v>
      </c>
      <c r="AK490">
        <v>31</v>
      </c>
      <c r="AL490" t="s">
        <v>929</v>
      </c>
      <c r="AM490" t="s">
        <v>930</v>
      </c>
      <c r="AN490" t="s">
        <v>931</v>
      </c>
      <c r="AO490" t="s">
        <v>7110</v>
      </c>
      <c r="AP490" t="s">
        <v>7111</v>
      </c>
      <c r="AQ490" t="s">
        <v>74</v>
      </c>
      <c r="AR490" t="s">
        <v>7112</v>
      </c>
      <c r="AS490" t="s">
        <v>7113</v>
      </c>
      <c r="AT490" t="s">
        <v>74</v>
      </c>
      <c r="AU490">
        <v>2004</v>
      </c>
      <c r="AV490">
        <v>11</v>
      </c>
      <c r="AW490">
        <v>6</v>
      </c>
      <c r="AX490" t="s">
        <v>74</v>
      </c>
      <c r="AY490" t="s">
        <v>74</v>
      </c>
      <c r="AZ490" t="s">
        <v>74</v>
      </c>
      <c r="BA490" t="s">
        <v>74</v>
      </c>
      <c r="BB490">
        <v>405</v>
      </c>
      <c r="BC490">
        <v>411</v>
      </c>
      <c r="BD490" t="s">
        <v>74</v>
      </c>
      <c r="BE490" t="s">
        <v>7114</v>
      </c>
      <c r="BF490" t="str">
        <f>HYPERLINK("http://dx.doi.org/10.1007/BF02979661","http://dx.doi.org/10.1007/BF02979661")</f>
        <v>http://dx.doi.org/10.1007/BF02979661</v>
      </c>
      <c r="BG490" t="s">
        <v>74</v>
      </c>
      <c r="BH490" t="s">
        <v>74</v>
      </c>
      <c r="BI490">
        <v>7</v>
      </c>
      <c r="BJ490" t="s">
        <v>1154</v>
      </c>
      <c r="BK490" t="s">
        <v>96</v>
      </c>
      <c r="BL490" t="s">
        <v>144</v>
      </c>
      <c r="BM490" t="s">
        <v>7115</v>
      </c>
      <c r="BN490">
        <v>15603531</v>
      </c>
      <c r="BO490" t="s">
        <v>74</v>
      </c>
      <c r="BP490" t="s">
        <v>74</v>
      </c>
      <c r="BQ490" t="s">
        <v>74</v>
      </c>
      <c r="BR490" t="s">
        <v>99</v>
      </c>
      <c r="BS490" t="s">
        <v>7116</v>
      </c>
      <c r="BT490" t="str">
        <f>HYPERLINK("https%3A%2F%2Fwww.webofscience.com%2Fwos%2Fwoscc%2Ffull-record%2FWOS:000225261700011","View Full Record in Web of Science")</f>
        <v>View Full Record in Web of Science</v>
      </c>
    </row>
    <row r="491" spans="1:72" x14ac:dyDescent="0.15">
      <c r="A491" t="s">
        <v>72</v>
      </c>
      <c r="B491" t="s">
        <v>7117</v>
      </c>
      <c r="C491" t="s">
        <v>74</v>
      </c>
      <c r="D491" t="s">
        <v>74</v>
      </c>
      <c r="E491" t="s">
        <v>74</v>
      </c>
      <c r="F491" t="s">
        <v>7117</v>
      </c>
      <c r="G491" t="s">
        <v>74</v>
      </c>
      <c r="H491" t="s">
        <v>74</v>
      </c>
      <c r="I491" t="s">
        <v>7118</v>
      </c>
      <c r="J491" t="s">
        <v>7119</v>
      </c>
      <c r="K491" t="s">
        <v>74</v>
      </c>
      <c r="L491" t="s">
        <v>74</v>
      </c>
      <c r="M491" t="s">
        <v>77</v>
      </c>
      <c r="N491" t="s">
        <v>311</v>
      </c>
      <c r="O491" t="s">
        <v>7120</v>
      </c>
      <c r="P491" t="s">
        <v>7121</v>
      </c>
      <c r="Q491" t="s">
        <v>7122</v>
      </c>
      <c r="R491" t="s">
        <v>74</v>
      </c>
      <c r="S491" t="s">
        <v>74</v>
      </c>
      <c r="T491" t="s">
        <v>7123</v>
      </c>
      <c r="U491" t="s">
        <v>7124</v>
      </c>
      <c r="V491" t="s">
        <v>7125</v>
      </c>
      <c r="W491" t="s">
        <v>7126</v>
      </c>
      <c r="X491" t="s">
        <v>7127</v>
      </c>
      <c r="Y491" t="s">
        <v>7128</v>
      </c>
      <c r="Z491" t="s">
        <v>7129</v>
      </c>
      <c r="AA491" t="s">
        <v>7130</v>
      </c>
      <c r="AB491" t="s">
        <v>7131</v>
      </c>
      <c r="AC491" t="s">
        <v>74</v>
      </c>
      <c r="AD491" t="s">
        <v>74</v>
      </c>
      <c r="AE491" t="s">
        <v>74</v>
      </c>
      <c r="AF491" t="s">
        <v>74</v>
      </c>
      <c r="AG491">
        <v>58</v>
      </c>
      <c r="AH491">
        <v>28</v>
      </c>
      <c r="AI491">
        <v>32</v>
      </c>
      <c r="AJ491">
        <v>2</v>
      </c>
      <c r="AK491">
        <v>15</v>
      </c>
      <c r="AL491" t="s">
        <v>7132</v>
      </c>
      <c r="AM491" t="s">
        <v>7133</v>
      </c>
      <c r="AN491" t="s">
        <v>7134</v>
      </c>
      <c r="AO491" t="s">
        <v>74</v>
      </c>
      <c r="AP491" t="s">
        <v>7135</v>
      </c>
      <c r="AQ491" t="s">
        <v>74</v>
      </c>
      <c r="AR491" t="s">
        <v>7136</v>
      </c>
      <c r="AS491" t="s">
        <v>7137</v>
      </c>
      <c r="AT491" t="s">
        <v>74</v>
      </c>
      <c r="AU491">
        <v>2004</v>
      </c>
      <c r="AV491">
        <v>101</v>
      </c>
      <c r="AW491">
        <v>3</v>
      </c>
      <c r="AX491" t="s">
        <v>74</v>
      </c>
      <c r="AY491" t="s">
        <v>74</v>
      </c>
      <c r="AZ491" t="s">
        <v>74</v>
      </c>
      <c r="BA491" t="s">
        <v>74</v>
      </c>
      <c r="BB491">
        <v>459</v>
      </c>
      <c r="BC491">
        <v>466</v>
      </c>
      <c r="BD491" t="s">
        <v>74</v>
      </c>
      <c r="BE491" t="s">
        <v>7138</v>
      </c>
      <c r="BF491" t="str">
        <f>HYPERLINK("http://dx.doi.org/10.14411/eje.2004.065","http://dx.doi.org/10.14411/eje.2004.065")</f>
        <v>http://dx.doi.org/10.14411/eje.2004.065</v>
      </c>
      <c r="BG491" t="s">
        <v>74</v>
      </c>
      <c r="BH491" t="s">
        <v>74</v>
      </c>
      <c r="BI491">
        <v>8</v>
      </c>
      <c r="BJ491" t="s">
        <v>7139</v>
      </c>
      <c r="BK491" t="s">
        <v>332</v>
      </c>
      <c r="BL491" t="s">
        <v>7139</v>
      </c>
      <c r="BM491" t="s">
        <v>7140</v>
      </c>
      <c r="BN491" t="s">
        <v>74</v>
      </c>
      <c r="BO491" t="s">
        <v>4262</v>
      </c>
      <c r="BP491" t="s">
        <v>74</v>
      </c>
      <c r="BQ491" t="s">
        <v>74</v>
      </c>
      <c r="BR491" t="s">
        <v>99</v>
      </c>
      <c r="BS491" t="s">
        <v>7141</v>
      </c>
      <c r="BT491" t="str">
        <f>HYPERLINK("https%3A%2F%2Fwww.webofscience.com%2Fwos%2Fwoscc%2Ffull-record%2FWOS:000224407300014","View Full Record in Web of Science")</f>
        <v>View Full Record in Web of Science</v>
      </c>
    </row>
    <row r="492" spans="1:72" x14ac:dyDescent="0.15">
      <c r="A492" t="s">
        <v>72</v>
      </c>
      <c r="B492" t="s">
        <v>7142</v>
      </c>
      <c r="C492" t="s">
        <v>74</v>
      </c>
      <c r="D492" t="s">
        <v>74</v>
      </c>
      <c r="E492" t="s">
        <v>74</v>
      </c>
      <c r="F492" t="s">
        <v>7142</v>
      </c>
      <c r="G492" t="s">
        <v>74</v>
      </c>
      <c r="H492" t="s">
        <v>74</v>
      </c>
      <c r="I492" t="s">
        <v>7143</v>
      </c>
      <c r="J492" t="s">
        <v>7144</v>
      </c>
      <c r="K492" t="s">
        <v>74</v>
      </c>
      <c r="L492" t="s">
        <v>74</v>
      </c>
      <c r="M492" t="s">
        <v>77</v>
      </c>
      <c r="N492" t="s">
        <v>78</v>
      </c>
      <c r="O492" t="s">
        <v>74</v>
      </c>
      <c r="P492" t="s">
        <v>74</v>
      </c>
      <c r="Q492" t="s">
        <v>74</v>
      </c>
      <c r="R492" t="s">
        <v>74</v>
      </c>
      <c r="S492" t="s">
        <v>74</v>
      </c>
      <c r="T492" t="s">
        <v>7145</v>
      </c>
      <c r="U492" t="s">
        <v>7146</v>
      </c>
      <c r="V492" t="s">
        <v>7147</v>
      </c>
      <c r="W492" t="s">
        <v>7148</v>
      </c>
      <c r="X492" t="s">
        <v>7149</v>
      </c>
      <c r="Y492" t="s">
        <v>7150</v>
      </c>
      <c r="Z492" t="s">
        <v>7151</v>
      </c>
      <c r="AA492" t="s">
        <v>7152</v>
      </c>
      <c r="AB492" t="s">
        <v>7153</v>
      </c>
      <c r="AC492" t="s">
        <v>74</v>
      </c>
      <c r="AD492" t="s">
        <v>74</v>
      </c>
      <c r="AE492" t="s">
        <v>74</v>
      </c>
      <c r="AF492" t="s">
        <v>74</v>
      </c>
      <c r="AG492">
        <v>42</v>
      </c>
      <c r="AH492">
        <v>38</v>
      </c>
      <c r="AI492">
        <v>41</v>
      </c>
      <c r="AJ492">
        <v>1</v>
      </c>
      <c r="AK492">
        <v>9</v>
      </c>
      <c r="AL492" t="s">
        <v>7154</v>
      </c>
      <c r="AM492" t="s">
        <v>7155</v>
      </c>
      <c r="AN492" t="s">
        <v>7156</v>
      </c>
      <c r="AO492" t="s">
        <v>7157</v>
      </c>
      <c r="AP492" t="s">
        <v>7158</v>
      </c>
      <c r="AQ492" t="s">
        <v>74</v>
      </c>
      <c r="AR492" t="s">
        <v>7159</v>
      </c>
      <c r="AS492" t="s">
        <v>7160</v>
      </c>
      <c r="AT492" t="s">
        <v>5979</v>
      </c>
      <c r="AU492">
        <v>2004</v>
      </c>
      <c r="AV492">
        <v>16</v>
      </c>
      <c r="AW492">
        <v>1</v>
      </c>
      <c r="AX492" t="s">
        <v>74</v>
      </c>
      <c r="AY492" t="s">
        <v>74</v>
      </c>
      <c r="AZ492" t="s">
        <v>74</v>
      </c>
      <c r="BA492" t="s">
        <v>74</v>
      </c>
      <c r="BB492">
        <v>73</v>
      </c>
      <c r="BC492">
        <v>83</v>
      </c>
      <c r="BD492" t="s">
        <v>74</v>
      </c>
      <c r="BE492" t="s">
        <v>7161</v>
      </c>
      <c r="BF492" t="str">
        <f>HYPERLINK("http://dx.doi.org/10.1127/0935-1221/2004/0016-0073","http://dx.doi.org/10.1127/0935-1221/2004/0016-0073")</f>
        <v>http://dx.doi.org/10.1127/0935-1221/2004/0016-0073</v>
      </c>
      <c r="BG492" t="s">
        <v>74</v>
      </c>
      <c r="BH492" t="s">
        <v>74</v>
      </c>
      <c r="BI492">
        <v>11</v>
      </c>
      <c r="BJ492" t="s">
        <v>7162</v>
      </c>
      <c r="BK492" t="s">
        <v>96</v>
      </c>
      <c r="BL492" t="s">
        <v>7162</v>
      </c>
      <c r="BM492" t="s">
        <v>7163</v>
      </c>
      <c r="BN492" t="s">
        <v>74</v>
      </c>
      <c r="BO492" t="s">
        <v>74</v>
      </c>
      <c r="BP492" t="s">
        <v>74</v>
      </c>
      <c r="BQ492" t="s">
        <v>74</v>
      </c>
      <c r="BR492" t="s">
        <v>99</v>
      </c>
      <c r="BS492" t="s">
        <v>7164</v>
      </c>
      <c r="BT492" t="str">
        <f>HYPERLINK("https%3A%2F%2Fwww.webofscience.com%2Fwos%2Fwoscc%2Ffull-record%2FWOS:000189157600007","View Full Record in Web of Science")</f>
        <v>View Full Record in Web of Science</v>
      </c>
    </row>
    <row r="493" spans="1:72" x14ac:dyDescent="0.15">
      <c r="A493" t="s">
        <v>72</v>
      </c>
      <c r="B493" t="s">
        <v>7165</v>
      </c>
      <c r="C493" t="s">
        <v>74</v>
      </c>
      <c r="D493" t="s">
        <v>74</v>
      </c>
      <c r="E493" t="s">
        <v>74</v>
      </c>
      <c r="F493" t="s">
        <v>7165</v>
      </c>
      <c r="G493" t="s">
        <v>74</v>
      </c>
      <c r="H493" t="s">
        <v>74</v>
      </c>
      <c r="I493" t="s">
        <v>7166</v>
      </c>
      <c r="J493" t="s">
        <v>7167</v>
      </c>
      <c r="K493" t="s">
        <v>74</v>
      </c>
      <c r="L493" t="s">
        <v>74</v>
      </c>
      <c r="M493" t="s">
        <v>77</v>
      </c>
      <c r="N493" t="s">
        <v>78</v>
      </c>
      <c r="O493" t="s">
        <v>74</v>
      </c>
      <c r="P493" t="s">
        <v>74</v>
      </c>
      <c r="Q493" t="s">
        <v>74</v>
      </c>
      <c r="R493" t="s">
        <v>74</v>
      </c>
      <c r="S493" t="s">
        <v>74</v>
      </c>
      <c r="T493" t="s">
        <v>7168</v>
      </c>
      <c r="U493" t="s">
        <v>7169</v>
      </c>
      <c r="V493" t="s">
        <v>7170</v>
      </c>
      <c r="W493" t="s">
        <v>7171</v>
      </c>
      <c r="X493" t="s">
        <v>82</v>
      </c>
      <c r="Y493" t="s">
        <v>7172</v>
      </c>
      <c r="Z493" t="s">
        <v>7173</v>
      </c>
      <c r="AA493" t="s">
        <v>7174</v>
      </c>
      <c r="AB493" t="s">
        <v>7175</v>
      </c>
      <c r="AC493" t="s">
        <v>74</v>
      </c>
      <c r="AD493" t="s">
        <v>74</v>
      </c>
      <c r="AE493" t="s">
        <v>74</v>
      </c>
      <c r="AF493" t="s">
        <v>74</v>
      </c>
      <c r="AG493">
        <v>27</v>
      </c>
      <c r="AH493">
        <v>34</v>
      </c>
      <c r="AI493">
        <v>42</v>
      </c>
      <c r="AJ493">
        <v>0</v>
      </c>
      <c r="AK493">
        <v>18</v>
      </c>
      <c r="AL493" t="s">
        <v>7176</v>
      </c>
      <c r="AM493" t="s">
        <v>7177</v>
      </c>
      <c r="AN493" t="s">
        <v>7178</v>
      </c>
      <c r="AO493" t="s">
        <v>7179</v>
      </c>
      <c r="AP493" t="s">
        <v>74</v>
      </c>
      <c r="AQ493" t="s">
        <v>74</v>
      </c>
      <c r="AR493" t="s">
        <v>7180</v>
      </c>
      <c r="AS493" t="s">
        <v>7181</v>
      </c>
      <c r="AT493" t="s">
        <v>7182</v>
      </c>
      <c r="AU493">
        <v>2004</v>
      </c>
      <c r="AV493">
        <v>40</v>
      </c>
      <c r="AW493">
        <v>1</v>
      </c>
      <c r="AX493" t="s">
        <v>74</v>
      </c>
      <c r="AY493" t="s">
        <v>74</v>
      </c>
      <c r="AZ493" t="s">
        <v>74</v>
      </c>
      <c r="BA493" t="s">
        <v>74</v>
      </c>
      <c r="BB493">
        <v>1</v>
      </c>
      <c r="BC493">
        <v>8</v>
      </c>
      <c r="BD493" t="s">
        <v>74</v>
      </c>
      <c r="BE493" t="s">
        <v>7183</v>
      </c>
      <c r="BF493" t="str">
        <f>HYPERLINK("http://dx.doi.org/10.1016/j.ejsobi.2004.01.004","http://dx.doi.org/10.1016/j.ejsobi.2004.01.004")</f>
        <v>http://dx.doi.org/10.1016/j.ejsobi.2004.01.004</v>
      </c>
      <c r="BG493" t="s">
        <v>74</v>
      </c>
      <c r="BH493" t="s">
        <v>74</v>
      </c>
      <c r="BI493">
        <v>8</v>
      </c>
      <c r="BJ493" t="s">
        <v>7184</v>
      </c>
      <c r="BK493" t="s">
        <v>96</v>
      </c>
      <c r="BL493" t="s">
        <v>7185</v>
      </c>
      <c r="BM493" t="s">
        <v>7186</v>
      </c>
      <c r="BN493" t="s">
        <v>74</v>
      </c>
      <c r="BO493" t="s">
        <v>1971</v>
      </c>
      <c r="BP493" t="s">
        <v>74</v>
      </c>
      <c r="BQ493" t="s">
        <v>74</v>
      </c>
      <c r="BR493" t="s">
        <v>99</v>
      </c>
      <c r="BS493" t="s">
        <v>7187</v>
      </c>
      <c r="BT493" t="str">
        <f>HYPERLINK("https%3A%2F%2Fwww.webofscience.com%2Fwos%2Fwoscc%2Ffull-record%2FWOS:000220742300001","View Full Record in Web of Science")</f>
        <v>View Full Record in Web of Science</v>
      </c>
    </row>
    <row r="494" spans="1:72" x14ac:dyDescent="0.15">
      <c r="A494" t="s">
        <v>72</v>
      </c>
      <c r="B494" t="s">
        <v>7188</v>
      </c>
      <c r="C494" t="s">
        <v>74</v>
      </c>
      <c r="D494" t="s">
        <v>74</v>
      </c>
      <c r="E494" t="s">
        <v>74</v>
      </c>
      <c r="F494" t="s">
        <v>7188</v>
      </c>
      <c r="G494" t="s">
        <v>74</v>
      </c>
      <c r="H494" t="s">
        <v>74</v>
      </c>
      <c r="I494" t="s">
        <v>7189</v>
      </c>
      <c r="J494" t="s">
        <v>7190</v>
      </c>
      <c r="K494" t="s">
        <v>74</v>
      </c>
      <c r="L494" t="s">
        <v>74</v>
      </c>
      <c r="M494" t="s">
        <v>77</v>
      </c>
      <c r="N494" t="s">
        <v>78</v>
      </c>
      <c r="O494" t="s">
        <v>74</v>
      </c>
      <c r="P494" t="s">
        <v>74</v>
      </c>
      <c r="Q494" t="s">
        <v>74</v>
      </c>
      <c r="R494" t="s">
        <v>74</v>
      </c>
      <c r="S494" t="s">
        <v>74</v>
      </c>
      <c r="T494" t="s">
        <v>7191</v>
      </c>
      <c r="U494" t="s">
        <v>7192</v>
      </c>
      <c r="V494" t="s">
        <v>7193</v>
      </c>
      <c r="W494" t="s">
        <v>7194</v>
      </c>
      <c r="X494" t="s">
        <v>7195</v>
      </c>
      <c r="Y494" t="s">
        <v>7196</v>
      </c>
      <c r="Z494" t="s">
        <v>7197</v>
      </c>
      <c r="AA494" t="s">
        <v>7198</v>
      </c>
      <c r="AB494" t="s">
        <v>7199</v>
      </c>
      <c r="AC494" t="s">
        <v>74</v>
      </c>
      <c r="AD494" t="s">
        <v>74</v>
      </c>
      <c r="AE494" t="s">
        <v>74</v>
      </c>
      <c r="AF494" t="s">
        <v>74</v>
      </c>
      <c r="AG494">
        <v>70</v>
      </c>
      <c r="AH494">
        <v>27</v>
      </c>
      <c r="AI494">
        <v>30</v>
      </c>
      <c r="AJ494">
        <v>1</v>
      </c>
      <c r="AK494">
        <v>9</v>
      </c>
      <c r="AL494" t="s">
        <v>86</v>
      </c>
      <c r="AM494" t="s">
        <v>3376</v>
      </c>
      <c r="AN494" t="s">
        <v>3377</v>
      </c>
      <c r="AO494" t="s">
        <v>7200</v>
      </c>
      <c r="AP494" t="s">
        <v>7201</v>
      </c>
      <c r="AQ494" t="s">
        <v>74</v>
      </c>
      <c r="AR494" t="s">
        <v>7202</v>
      </c>
      <c r="AS494" t="s">
        <v>7203</v>
      </c>
      <c r="AT494" t="s">
        <v>74</v>
      </c>
      <c r="AU494">
        <v>2004</v>
      </c>
      <c r="AV494">
        <v>34</v>
      </c>
      <c r="AW494" t="s">
        <v>536</v>
      </c>
      <c r="AX494" t="s">
        <v>74</v>
      </c>
      <c r="AY494" t="s">
        <v>74</v>
      </c>
      <c r="AZ494" t="s">
        <v>74</v>
      </c>
      <c r="BA494" t="s">
        <v>74</v>
      </c>
      <c r="BB494">
        <v>21</v>
      </c>
      <c r="BC494">
        <v>35</v>
      </c>
      <c r="BD494" t="s">
        <v>74</v>
      </c>
      <c r="BE494" t="s">
        <v>7204</v>
      </c>
      <c r="BF494" t="str">
        <f>HYPERLINK("http://dx.doi.org/10.1023/B:APPA.0000044437.17333.82","http://dx.doi.org/10.1023/B:APPA.0000044437.17333.82")</f>
        <v>http://dx.doi.org/10.1023/B:APPA.0000044437.17333.82</v>
      </c>
      <c r="BG494" t="s">
        <v>74</v>
      </c>
      <c r="BH494" t="s">
        <v>74</v>
      </c>
      <c r="BI494">
        <v>15</v>
      </c>
      <c r="BJ494" t="s">
        <v>7139</v>
      </c>
      <c r="BK494" t="s">
        <v>96</v>
      </c>
      <c r="BL494" t="s">
        <v>7139</v>
      </c>
      <c r="BM494" t="s">
        <v>7205</v>
      </c>
      <c r="BN494">
        <v>15597598</v>
      </c>
      <c r="BO494" t="s">
        <v>74</v>
      </c>
      <c r="BP494" t="s">
        <v>74</v>
      </c>
      <c r="BQ494" t="s">
        <v>74</v>
      </c>
      <c r="BR494" t="s">
        <v>99</v>
      </c>
      <c r="BS494" t="s">
        <v>7206</v>
      </c>
      <c r="BT494" t="str">
        <f>HYPERLINK("https%3A%2F%2Fwww.webofscience.com%2Fwos%2Fwoscc%2Ffull-record%2FWOS:000229039700003","View Full Record in Web of Science")</f>
        <v>View Full Record in Web of Science</v>
      </c>
    </row>
    <row r="495" spans="1:72" x14ac:dyDescent="0.15">
      <c r="A495" t="s">
        <v>72</v>
      </c>
      <c r="B495" t="s">
        <v>7207</v>
      </c>
      <c r="C495" t="s">
        <v>74</v>
      </c>
      <c r="D495" t="s">
        <v>74</v>
      </c>
      <c r="E495" t="s">
        <v>74</v>
      </c>
      <c r="F495" t="s">
        <v>7208</v>
      </c>
      <c r="G495" t="s">
        <v>74</v>
      </c>
      <c r="H495" t="s">
        <v>74</v>
      </c>
      <c r="I495" t="s">
        <v>7209</v>
      </c>
      <c r="J495" t="s">
        <v>7210</v>
      </c>
      <c r="K495" t="s">
        <v>74</v>
      </c>
      <c r="L495" t="s">
        <v>74</v>
      </c>
      <c r="M495" t="s">
        <v>77</v>
      </c>
      <c r="N495" t="s">
        <v>78</v>
      </c>
      <c r="O495" t="s">
        <v>74</v>
      </c>
      <c r="P495" t="s">
        <v>74</v>
      </c>
      <c r="Q495" t="s">
        <v>74</v>
      </c>
      <c r="R495" t="s">
        <v>74</v>
      </c>
      <c r="S495" t="s">
        <v>74</v>
      </c>
      <c r="T495" t="s">
        <v>7211</v>
      </c>
      <c r="U495" t="s">
        <v>74</v>
      </c>
      <c r="V495" t="s">
        <v>7212</v>
      </c>
      <c r="W495" t="s">
        <v>7213</v>
      </c>
      <c r="X495" t="s">
        <v>1760</v>
      </c>
      <c r="Y495" t="s">
        <v>7214</v>
      </c>
      <c r="Z495" t="s">
        <v>7215</v>
      </c>
      <c r="AA495" t="s">
        <v>74</v>
      </c>
      <c r="AB495" t="s">
        <v>74</v>
      </c>
      <c r="AC495" t="s">
        <v>7216</v>
      </c>
      <c r="AD495" t="s">
        <v>7217</v>
      </c>
      <c r="AE495" t="s">
        <v>7218</v>
      </c>
      <c r="AF495" t="s">
        <v>74</v>
      </c>
      <c r="AG495">
        <v>8</v>
      </c>
      <c r="AH495">
        <v>5</v>
      </c>
      <c r="AI495">
        <v>5</v>
      </c>
      <c r="AJ495">
        <v>0</v>
      </c>
      <c r="AK495">
        <v>2</v>
      </c>
      <c r="AL495" t="s">
        <v>5554</v>
      </c>
      <c r="AM495" t="s">
        <v>7062</v>
      </c>
      <c r="AN495" t="s">
        <v>7063</v>
      </c>
      <c r="AO495" t="s">
        <v>7219</v>
      </c>
      <c r="AP495" t="s">
        <v>74</v>
      </c>
      <c r="AQ495" t="s">
        <v>74</v>
      </c>
      <c r="AR495" t="s">
        <v>7220</v>
      </c>
      <c r="AS495" t="s">
        <v>7221</v>
      </c>
      <c r="AT495" t="s">
        <v>74</v>
      </c>
      <c r="AU495">
        <v>2004</v>
      </c>
      <c r="AV495">
        <v>35</v>
      </c>
      <c r="AW495">
        <v>4</v>
      </c>
      <c r="AX495" t="s">
        <v>74</v>
      </c>
      <c r="AY495" t="s">
        <v>74</v>
      </c>
      <c r="AZ495" t="s">
        <v>74</v>
      </c>
      <c r="BA495" t="s">
        <v>74</v>
      </c>
      <c r="BB495">
        <v>283</v>
      </c>
      <c r="BC495">
        <v>287</v>
      </c>
      <c r="BD495" t="s">
        <v>74</v>
      </c>
      <c r="BE495" t="s">
        <v>7222</v>
      </c>
      <c r="BF495" t="str">
        <f>HYPERLINK("http://dx.doi.org/10.1071/EG04283","http://dx.doi.org/10.1071/EG04283")</f>
        <v>http://dx.doi.org/10.1071/EG04283</v>
      </c>
      <c r="BG495" t="s">
        <v>74</v>
      </c>
      <c r="BH495" t="s">
        <v>74</v>
      </c>
      <c r="BI495">
        <v>5</v>
      </c>
      <c r="BJ495" t="s">
        <v>262</v>
      </c>
      <c r="BK495" t="s">
        <v>96</v>
      </c>
      <c r="BL495" t="s">
        <v>262</v>
      </c>
      <c r="BM495" t="s">
        <v>7223</v>
      </c>
      <c r="BN495" t="s">
        <v>74</v>
      </c>
      <c r="BO495" t="s">
        <v>74</v>
      </c>
      <c r="BP495" t="s">
        <v>74</v>
      </c>
      <c r="BQ495" t="s">
        <v>74</v>
      </c>
      <c r="BR495" t="s">
        <v>99</v>
      </c>
      <c r="BS495" t="s">
        <v>7224</v>
      </c>
      <c r="BT495" t="str">
        <f>HYPERLINK("https%3A%2F%2Fwww.webofscience.com%2Fwos%2Fwoscc%2Ffull-record%2FWOS:000208398600010","View Full Record in Web of Science")</f>
        <v>View Full Record in Web of Science</v>
      </c>
    </row>
    <row r="496" spans="1:72" x14ac:dyDescent="0.15">
      <c r="A496" t="s">
        <v>72</v>
      </c>
      <c r="B496" t="s">
        <v>7225</v>
      </c>
      <c r="C496" t="s">
        <v>74</v>
      </c>
      <c r="D496" t="s">
        <v>74</v>
      </c>
      <c r="E496" t="s">
        <v>74</v>
      </c>
      <c r="F496" t="s">
        <v>7225</v>
      </c>
      <c r="G496" t="s">
        <v>74</v>
      </c>
      <c r="H496" t="s">
        <v>74</v>
      </c>
      <c r="I496" t="s">
        <v>7226</v>
      </c>
      <c r="J496" t="s">
        <v>7227</v>
      </c>
      <c r="K496" t="s">
        <v>74</v>
      </c>
      <c r="L496" t="s">
        <v>74</v>
      </c>
      <c r="M496" t="s">
        <v>77</v>
      </c>
      <c r="N496" t="s">
        <v>78</v>
      </c>
      <c r="O496" t="s">
        <v>74</v>
      </c>
      <c r="P496" t="s">
        <v>74</v>
      </c>
      <c r="Q496" t="s">
        <v>74</v>
      </c>
      <c r="R496" t="s">
        <v>74</v>
      </c>
      <c r="S496" t="s">
        <v>74</v>
      </c>
      <c r="T496" t="s">
        <v>7228</v>
      </c>
      <c r="U496" t="s">
        <v>7229</v>
      </c>
      <c r="V496" t="s">
        <v>7230</v>
      </c>
      <c r="W496" t="s">
        <v>7231</v>
      </c>
      <c r="X496" t="s">
        <v>5762</v>
      </c>
      <c r="Y496" t="s">
        <v>74</v>
      </c>
      <c r="Z496" t="s">
        <v>7232</v>
      </c>
      <c r="AA496" t="s">
        <v>74</v>
      </c>
      <c r="AB496" t="s">
        <v>74</v>
      </c>
      <c r="AC496" t="s">
        <v>74</v>
      </c>
      <c r="AD496" t="s">
        <v>74</v>
      </c>
      <c r="AE496" t="s">
        <v>74</v>
      </c>
      <c r="AF496" t="s">
        <v>74</v>
      </c>
      <c r="AG496">
        <v>24</v>
      </c>
      <c r="AH496">
        <v>68</v>
      </c>
      <c r="AI496">
        <v>72</v>
      </c>
      <c r="AJ496">
        <v>0</v>
      </c>
      <c r="AK496">
        <v>13</v>
      </c>
      <c r="AL496" t="s">
        <v>198</v>
      </c>
      <c r="AM496" t="s">
        <v>178</v>
      </c>
      <c r="AN496" t="s">
        <v>179</v>
      </c>
      <c r="AO496" t="s">
        <v>7233</v>
      </c>
      <c r="AP496" t="s">
        <v>7234</v>
      </c>
      <c r="AQ496" t="s">
        <v>74</v>
      </c>
      <c r="AR496" t="s">
        <v>7235</v>
      </c>
      <c r="AS496" t="s">
        <v>7236</v>
      </c>
      <c r="AT496" t="s">
        <v>4117</v>
      </c>
      <c r="AU496">
        <v>2004</v>
      </c>
      <c r="AV496">
        <v>13</v>
      </c>
      <c r="AW496">
        <v>1</v>
      </c>
      <c r="AX496" t="s">
        <v>74</v>
      </c>
      <c r="AY496" t="s">
        <v>74</v>
      </c>
      <c r="AZ496" t="s">
        <v>74</v>
      </c>
      <c r="BA496" t="s">
        <v>74</v>
      </c>
      <c r="BB496">
        <v>1</v>
      </c>
      <c r="BC496">
        <v>9</v>
      </c>
      <c r="BD496" t="s">
        <v>74</v>
      </c>
      <c r="BE496" t="s">
        <v>7237</v>
      </c>
      <c r="BF496" t="str">
        <f>HYPERLINK("http://dx.doi.org/10.1046/j.1365-2419.2003.00269.x","http://dx.doi.org/10.1046/j.1365-2419.2003.00269.x")</f>
        <v>http://dx.doi.org/10.1046/j.1365-2419.2003.00269.x</v>
      </c>
      <c r="BG496" t="s">
        <v>74</v>
      </c>
      <c r="BH496" t="s">
        <v>74</v>
      </c>
      <c r="BI496">
        <v>9</v>
      </c>
      <c r="BJ496" t="s">
        <v>7238</v>
      </c>
      <c r="BK496" t="s">
        <v>96</v>
      </c>
      <c r="BL496" t="s">
        <v>7238</v>
      </c>
      <c r="BM496" t="s">
        <v>7239</v>
      </c>
      <c r="BN496" t="s">
        <v>74</v>
      </c>
      <c r="BO496" t="s">
        <v>541</v>
      </c>
      <c r="BP496" t="s">
        <v>74</v>
      </c>
      <c r="BQ496" t="s">
        <v>74</v>
      </c>
      <c r="BR496" t="s">
        <v>99</v>
      </c>
      <c r="BS496" t="s">
        <v>7240</v>
      </c>
      <c r="BT496" t="str">
        <f>HYPERLINK("https%3A%2F%2Fwww.webofscience.com%2Fwos%2Fwoscc%2Ffull-record%2FWOS:000187274900001","View Full Record in Web of Science")</f>
        <v>View Full Record in Web of Science</v>
      </c>
    </row>
    <row r="497" spans="1:72" x14ac:dyDescent="0.15">
      <c r="A497" t="s">
        <v>72</v>
      </c>
      <c r="B497" t="s">
        <v>7241</v>
      </c>
      <c r="C497" t="s">
        <v>74</v>
      </c>
      <c r="D497" t="s">
        <v>74</v>
      </c>
      <c r="E497" t="s">
        <v>74</v>
      </c>
      <c r="F497" t="s">
        <v>7241</v>
      </c>
      <c r="G497" t="s">
        <v>74</v>
      </c>
      <c r="H497" t="s">
        <v>74</v>
      </c>
      <c r="I497" t="s">
        <v>7242</v>
      </c>
      <c r="J497" t="s">
        <v>7243</v>
      </c>
      <c r="K497" t="s">
        <v>74</v>
      </c>
      <c r="L497" t="s">
        <v>74</v>
      </c>
      <c r="M497" t="s">
        <v>77</v>
      </c>
      <c r="N497" t="s">
        <v>78</v>
      </c>
      <c r="O497" t="s">
        <v>74</v>
      </c>
      <c r="P497" t="s">
        <v>74</v>
      </c>
      <c r="Q497" t="s">
        <v>74</v>
      </c>
      <c r="R497" t="s">
        <v>74</v>
      </c>
      <c r="S497" t="s">
        <v>74</v>
      </c>
      <c r="T497" t="s">
        <v>74</v>
      </c>
      <c r="U497" t="s">
        <v>7244</v>
      </c>
      <c r="V497" t="s">
        <v>7245</v>
      </c>
      <c r="W497" t="s">
        <v>7246</v>
      </c>
      <c r="X497" t="s">
        <v>7247</v>
      </c>
      <c r="Y497" t="s">
        <v>7248</v>
      </c>
      <c r="Z497" t="s">
        <v>7249</v>
      </c>
      <c r="AA497" t="s">
        <v>74</v>
      </c>
      <c r="AB497" t="s">
        <v>74</v>
      </c>
      <c r="AC497" t="s">
        <v>74</v>
      </c>
      <c r="AD497" t="s">
        <v>74</v>
      </c>
      <c r="AE497" t="s">
        <v>74</v>
      </c>
      <c r="AF497" t="s">
        <v>74</v>
      </c>
      <c r="AG497">
        <v>25</v>
      </c>
      <c r="AH497">
        <v>26</v>
      </c>
      <c r="AI497">
        <v>34</v>
      </c>
      <c r="AJ497">
        <v>1</v>
      </c>
      <c r="AK497">
        <v>10</v>
      </c>
      <c r="AL497" t="s">
        <v>86</v>
      </c>
      <c r="AM497" t="s">
        <v>3376</v>
      </c>
      <c r="AN497" t="s">
        <v>3377</v>
      </c>
      <c r="AO497" t="s">
        <v>7250</v>
      </c>
      <c r="AP497" t="s">
        <v>7251</v>
      </c>
      <c r="AQ497" t="s">
        <v>74</v>
      </c>
      <c r="AR497" t="s">
        <v>7252</v>
      </c>
      <c r="AS497" t="s">
        <v>7253</v>
      </c>
      <c r="AT497" t="s">
        <v>74</v>
      </c>
      <c r="AU497">
        <v>2004</v>
      </c>
      <c r="AV497">
        <v>49</v>
      </c>
      <c r="AW497">
        <v>3</v>
      </c>
      <c r="AX497" t="s">
        <v>74</v>
      </c>
      <c r="AY497" t="s">
        <v>74</v>
      </c>
      <c r="AZ497" t="s">
        <v>74</v>
      </c>
      <c r="BA497" t="s">
        <v>74</v>
      </c>
      <c r="BB497">
        <v>269</v>
      </c>
      <c r="BC497">
        <v>275</v>
      </c>
      <c r="BD497" t="s">
        <v>74</v>
      </c>
      <c r="BE497" t="s">
        <v>7254</v>
      </c>
      <c r="BF497" t="str">
        <f>HYPERLINK("http://dx.doi.org/10.1007/BF02931042","http://dx.doi.org/10.1007/BF02931042")</f>
        <v>http://dx.doi.org/10.1007/BF02931042</v>
      </c>
      <c r="BG497" t="s">
        <v>74</v>
      </c>
      <c r="BH497" t="s">
        <v>74</v>
      </c>
      <c r="BI497">
        <v>7</v>
      </c>
      <c r="BJ497" t="s">
        <v>2092</v>
      </c>
      <c r="BK497" t="s">
        <v>96</v>
      </c>
      <c r="BL497" t="s">
        <v>2092</v>
      </c>
      <c r="BM497" t="s">
        <v>7255</v>
      </c>
      <c r="BN497">
        <v>15259767</v>
      </c>
      <c r="BO497" t="s">
        <v>74</v>
      </c>
      <c r="BP497" t="s">
        <v>74</v>
      </c>
      <c r="BQ497" t="s">
        <v>74</v>
      </c>
      <c r="BR497" t="s">
        <v>99</v>
      </c>
      <c r="BS497" t="s">
        <v>7256</v>
      </c>
      <c r="BT497" t="str">
        <f>HYPERLINK("https%3A%2F%2Fwww.webofscience.com%2Fwos%2Fwoscc%2Ffull-record%2FWOS:000221874600005","View Full Record in Web of Science")</f>
        <v>View Full Record in Web of Science</v>
      </c>
    </row>
    <row r="498" spans="1:72" x14ac:dyDescent="0.15">
      <c r="A498" t="s">
        <v>72</v>
      </c>
      <c r="B498" t="s">
        <v>7257</v>
      </c>
      <c r="C498" t="s">
        <v>74</v>
      </c>
      <c r="D498" t="s">
        <v>74</v>
      </c>
      <c r="E498" t="s">
        <v>74</v>
      </c>
      <c r="F498" t="s">
        <v>7257</v>
      </c>
      <c r="G498" t="s">
        <v>74</v>
      </c>
      <c r="H498" t="s">
        <v>74</v>
      </c>
      <c r="I498" t="s">
        <v>7258</v>
      </c>
      <c r="J498" t="s">
        <v>7259</v>
      </c>
      <c r="K498" t="s">
        <v>74</v>
      </c>
      <c r="L498" t="s">
        <v>74</v>
      </c>
      <c r="M498" t="s">
        <v>77</v>
      </c>
      <c r="N498" t="s">
        <v>52</v>
      </c>
      <c r="O498" t="s">
        <v>7260</v>
      </c>
      <c r="P498" t="s">
        <v>7261</v>
      </c>
      <c r="Q498" t="s">
        <v>7262</v>
      </c>
      <c r="R498" t="s">
        <v>74</v>
      </c>
      <c r="S498" t="s">
        <v>74</v>
      </c>
      <c r="T498" t="s">
        <v>74</v>
      </c>
      <c r="U498" t="s">
        <v>74</v>
      </c>
      <c r="V498" t="s">
        <v>74</v>
      </c>
      <c r="W498" t="s">
        <v>7263</v>
      </c>
      <c r="X498" t="s">
        <v>7264</v>
      </c>
      <c r="Y498" t="s">
        <v>74</v>
      </c>
      <c r="Z498" t="s">
        <v>74</v>
      </c>
      <c r="AA498" t="s">
        <v>7265</v>
      </c>
      <c r="AB498" t="s">
        <v>7266</v>
      </c>
      <c r="AC498" t="s">
        <v>74</v>
      </c>
      <c r="AD498" t="s">
        <v>74</v>
      </c>
      <c r="AE498" t="s">
        <v>74</v>
      </c>
      <c r="AF498" t="s">
        <v>74</v>
      </c>
      <c r="AG498">
        <v>0</v>
      </c>
      <c r="AH498">
        <v>0</v>
      </c>
      <c r="AI498">
        <v>0</v>
      </c>
      <c r="AJ498">
        <v>0</v>
      </c>
      <c r="AK498">
        <v>0</v>
      </c>
      <c r="AL498" t="s">
        <v>213</v>
      </c>
      <c r="AM498" t="s">
        <v>214</v>
      </c>
      <c r="AN498" t="s">
        <v>215</v>
      </c>
      <c r="AO498" t="s">
        <v>7267</v>
      </c>
      <c r="AP498" t="s">
        <v>74</v>
      </c>
      <c r="AQ498" t="s">
        <v>74</v>
      </c>
      <c r="AR498" t="s">
        <v>7268</v>
      </c>
      <c r="AS498" t="s">
        <v>7269</v>
      </c>
      <c r="AT498" t="s">
        <v>74</v>
      </c>
      <c r="AU498">
        <v>2004</v>
      </c>
      <c r="AV498">
        <v>37</v>
      </c>
      <c r="AW498" t="s">
        <v>74</v>
      </c>
      <c r="AX498" t="s">
        <v>74</v>
      </c>
      <c r="AY498">
        <v>1</v>
      </c>
      <c r="AZ498" t="s">
        <v>74</v>
      </c>
      <c r="BA498" t="s">
        <v>74</v>
      </c>
      <c r="BB498" t="s">
        <v>7270</v>
      </c>
      <c r="BC498" t="s">
        <v>7271</v>
      </c>
      <c r="BD498" t="s">
        <v>74</v>
      </c>
      <c r="BE498" t="s">
        <v>74</v>
      </c>
      <c r="BF498" t="s">
        <v>74</v>
      </c>
      <c r="BG498" t="s">
        <v>74</v>
      </c>
      <c r="BH498" t="s">
        <v>74</v>
      </c>
      <c r="BI498">
        <v>2</v>
      </c>
      <c r="BJ498" t="s">
        <v>241</v>
      </c>
      <c r="BK498" t="s">
        <v>1116</v>
      </c>
      <c r="BL498" t="s">
        <v>241</v>
      </c>
      <c r="BM498" t="s">
        <v>7272</v>
      </c>
      <c r="BN498" t="s">
        <v>74</v>
      </c>
      <c r="BO498" t="s">
        <v>74</v>
      </c>
      <c r="BP498" t="s">
        <v>74</v>
      </c>
      <c r="BQ498" t="s">
        <v>74</v>
      </c>
      <c r="BR498" t="s">
        <v>99</v>
      </c>
      <c r="BS498" t="s">
        <v>7273</v>
      </c>
      <c r="BT498" t="str">
        <f>HYPERLINK("https%3A%2F%2Fwww.webofscience.com%2Fwos%2Fwoscc%2Ffull-record%2FWOS:000225458900446","View Full Record in Web of Science")</f>
        <v>View Full Record in Web of Science</v>
      </c>
    </row>
    <row r="499" spans="1:72" x14ac:dyDescent="0.15">
      <c r="A499" t="s">
        <v>72</v>
      </c>
      <c r="B499" t="s">
        <v>7274</v>
      </c>
      <c r="C499" t="s">
        <v>74</v>
      </c>
      <c r="D499" t="s">
        <v>74</v>
      </c>
      <c r="E499" t="s">
        <v>74</v>
      </c>
      <c r="F499" t="s">
        <v>7274</v>
      </c>
      <c r="G499" t="s">
        <v>74</v>
      </c>
      <c r="H499" t="s">
        <v>74</v>
      </c>
      <c r="I499" t="s">
        <v>7275</v>
      </c>
      <c r="J499" t="s">
        <v>7259</v>
      </c>
      <c r="K499" t="s">
        <v>74</v>
      </c>
      <c r="L499" t="s">
        <v>74</v>
      </c>
      <c r="M499" t="s">
        <v>77</v>
      </c>
      <c r="N499" t="s">
        <v>52</v>
      </c>
      <c r="O499" t="s">
        <v>7276</v>
      </c>
      <c r="P499" t="s">
        <v>7277</v>
      </c>
      <c r="Q499" t="s">
        <v>7278</v>
      </c>
      <c r="R499" t="s">
        <v>74</v>
      </c>
      <c r="S499" t="s">
        <v>74</v>
      </c>
      <c r="T499" t="s">
        <v>74</v>
      </c>
      <c r="U499" t="s">
        <v>74</v>
      </c>
      <c r="V499" t="s">
        <v>74</v>
      </c>
      <c r="W499" t="s">
        <v>7279</v>
      </c>
      <c r="X499" t="s">
        <v>7280</v>
      </c>
      <c r="Y499" t="s">
        <v>74</v>
      </c>
      <c r="Z499" t="s">
        <v>74</v>
      </c>
      <c r="AA499" t="s">
        <v>74</v>
      </c>
      <c r="AB499" t="s">
        <v>74</v>
      </c>
      <c r="AC499" t="s">
        <v>74</v>
      </c>
      <c r="AD499" t="s">
        <v>74</v>
      </c>
      <c r="AE499" t="s">
        <v>74</v>
      </c>
      <c r="AF499" t="s">
        <v>74</v>
      </c>
      <c r="AG499">
        <v>0</v>
      </c>
      <c r="AH499">
        <v>0</v>
      </c>
      <c r="AI499">
        <v>0</v>
      </c>
      <c r="AJ499">
        <v>0</v>
      </c>
      <c r="AK499">
        <v>2</v>
      </c>
      <c r="AL499" t="s">
        <v>213</v>
      </c>
      <c r="AM499" t="s">
        <v>214</v>
      </c>
      <c r="AN499" t="s">
        <v>215</v>
      </c>
      <c r="AO499" t="s">
        <v>7267</v>
      </c>
      <c r="AP499" t="s">
        <v>74</v>
      </c>
      <c r="AQ499" t="s">
        <v>74</v>
      </c>
      <c r="AR499" t="s">
        <v>7268</v>
      </c>
      <c r="AS499" t="s">
        <v>7269</v>
      </c>
      <c r="AT499" t="s">
        <v>74</v>
      </c>
      <c r="AU499">
        <v>2004</v>
      </c>
      <c r="AV499">
        <v>36</v>
      </c>
      <c r="AW499" t="s">
        <v>74</v>
      </c>
      <c r="AX499" t="s">
        <v>74</v>
      </c>
      <c r="AY499">
        <v>1</v>
      </c>
      <c r="AZ499" t="s">
        <v>74</v>
      </c>
      <c r="BA499" t="s">
        <v>74</v>
      </c>
      <c r="BB499" t="s">
        <v>7281</v>
      </c>
      <c r="BC499" t="s">
        <v>7281</v>
      </c>
      <c r="BD499" t="s">
        <v>74</v>
      </c>
      <c r="BE499" t="s">
        <v>74</v>
      </c>
      <c r="BF499" t="s">
        <v>74</v>
      </c>
      <c r="BG499" t="s">
        <v>74</v>
      </c>
      <c r="BH499" t="s">
        <v>74</v>
      </c>
      <c r="BI499">
        <v>1</v>
      </c>
      <c r="BJ499" t="s">
        <v>241</v>
      </c>
      <c r="BK499" t="s">
        <v>1116</v>
      </c>
      <c r="BL499" t="s">
        <v>241</v>
      </c>
      <c r="BM499" t="s">
        <v>7282</v>
      </c>
      <c r="BN499" t="s">
        <v>74</v>
      </c>
      <c r="BO499" t="s">
        <v>74</v>
      </c>
      <c r="BP499" t="s">
        <v>74</v>
      </c>
      <c r="BQ499" t="s">
        <v>74</v>
      </c>
      <c r="BR499" t="s">
        <v>99</v>
      </c>
      <c r="BS499" t="s">
        <v>7283</v>
      </c>
      <c r="BT499" t="str">
        <f>HYPERLINK("https%3A%2F%2Fwww.webofscience.com%2Fwos%2Fwoscc%2Ffull-record%2FWOS:000221320200362","View Full Record in Web of Science")</f>
        <v>View Full Record in Web of Science</v>
      </c>
    </row>
    <row r="500" spans="1:72" x14ac:dyDescent="0.15">
      <c r="A500" t="s">
        <v>3934</v>
      </c>
      <c r="B500" t="s">
        <v>7284</v>
      </c>
      <c r="C500" t="s">
        <v>74</v>
      </c>
      <c r="D500" t="s">
        <v>7285</v>
      </c>
      <c r="E500" t="s">
        <v>74</v>
      </c>
      <c r="F500" t="s">
        <v>7284</v>
      </c>
      <c r="G500" t="s">
        <v>74</v>
      </c>
      <c r="H500" t="s">
        <v>74</v>
      </c>
      <c r="I500" t="s">
        <v>7286</v>
      </c>
      <c r="J500" t="s">
        <v>7287</v>
      </c>
      <c r="K500" t="s">
        <v>74</v>
      </c>
      <c r="L500" t="s">
        <v>74</v>
      </c>
      <c r="M500" t="s">
        <v>77</v>
      </c>
      <c r="N500" t="s">
        <v>3940</v>
      </c>
      <c r="O500" t="s">
        <v>7288</v>
      </c>
      <c r="P500" t="s">
        <v>7289</v>
      </c>
      <c r="Q500" t="s">
        <v>7290</v>
      </c>
      <c r="R500" t="s">
        <v>74</v>
      </c>
      <c r="S500" t="s">
        <v>74</v>
      </c>
      <c r="T500" t="s">
        <v>74</v>
      </c>
      <c r="U500" t="s">
        <v>74</v>
      </c>
      <c r="V500" t="s">
        <v>74</v>
      </c>
      <c r="W500" t="s">
        <v>647</v>
      </c>
      <c r="X500" t="s">
        <v>82</v>
      </c>
      <c r="Y500" t="s">
        <v>7291</v>
      </c>
      <c r="Z500" t="s">
        <v>74</v>
      </c>
      <c r="AA500" t="s">
        <v>74</v>
      </c>
      <c r="AB500" t="s">
        <v>74</v>
      </c>
      <c r="AC500" t="s">
        <v>74</v>
      </c>
      <c r="AD500" t="s">
        <v>74</v>
      </c>
      <c r="AE500" t="s">
        <v>74</v>
      </c>
      <c r="AF500" t="s">
        <v>74</v>
      </c>
      <c r="AG500">
        <v>0</v>
      </c>
      <c r="AH500">
        <v>15</v>
      </c>
      <c r="AI500">
        <v>15</v>
      </c>
      <c r="AJ500">
        <v>0</v>
      </c>
      <c r="AK500">
        <v>4</v>
      </c>
      <c r="AL500" t="s">
        <v>7292</v>
      </c>
      <c r="AM500" t="s">
        <v>7293</v>
      </c>
      <c r="AN500" t="s">
        <v>7294</v>
      </c>
      <c r="AO500" t="s">
        <v>74</v>
      </c>
      <c r="AP500" t="s">
        <v>74</v>
      </c>
      <c r="AQ500" t="s">
        <v>7295</v>
      </c>
      <c r="AR500" t="s">
        <v>74</v>
      </c>
      <c r="AS500" t="s">
        <v>74</v>
      </c>
      <c r="AT500" t="s">
        <v>74</v>
      </c>
      <c r="AU500">
        <v>2004</v>
      </c>
      <c r="AV500" t="s">
        <v>74</v>
      </c>
      <c r="AW500" t="s">
        <v>74</v>
      </c>
      <c r="AX500" t="s">
        <v>74</v>
      </c>
      <c r="AY500" t="s">
        <v>74</v>
      </c>
      <c r="AZ500" t="s">
        <v>74</v>
      </c>
      <c r="BA500" t="s">
        <v>74</v>
      </c>
      <c r="BB500">
        <v>271</v>
      </c>
      <c r="BC500">
        <v>291</v>
      </c>
      <c r="BD500" t="s">
        <v>74</v>
      </c>
      <c r="BE500" t="s">
        <v>74</v>
      </c>
      <c r="BF500" t="s">
        <v>74</v>
      </c>
      <c r="BG500" t="s">
        <v>74</v>
      </c>
      <c r="BH500" t="s">
        <v>74</v>
      </c>
      <c r="BI500">
        <v>21</v>
      </c>
      <c r="BJ500" t="s">
        <v>7296</v>
      </c>
      <c r="BK500" t="s">
        <v>3955</v>
      </c>
      <c r="BL500" t="s">
        <v>7297</v>
      </c>
      <c r="BM500" t="s">
        <v>7298</v>
      </c>
      <c r="BN500" t="s">
        <v>74</v>
      </c>
      <c r="BO500" t="s">
        <v>74</v>
      </c>
      <c r="BP500" t="s">
        <v>74</v>
      </c>
      <c r="BQ500" t="s">
        <v>74</v>
      </c>
      <c r="BR500" t="s">
        <v>99</v>
      </c>
      <c r="BS500" t="s">
        <v>7299</v>
      </c>
      <c r="BT500" t="str">
        <f>HYPERLINK("https%3A%2F%2Fwww.webofscience.com%2Fwos%2Fwoscc%2Ffull-record%2FWOS:000232529500015","View Full Record in Web of Science")</f>
        <v>View Full Record in Web of Science</v>
      </c>
    </row>
    <row r="501" spans="1:72" x14ac:dyDescent="0.15">
      <c r="A501" t="s">
        <v>72</v>
      </c>
      <c r="B501" t="s">
        <v>7300</v>
      </c>
      <c r="C501" t="s">
        <v>74</v>
      </c>
      <c r="D501" t="s">
        <v>74</v>
      </c>
      <c r="E501" t="s">
        <v>74</v>
      </c>
      <c r="F501" t="s">
        <v>7300</v>
      </c>
      <c r="G501" t="s">
        <v>74</v>
      </c>
      <c r="H501" t="s">
        <v>74</v>
      </c>
      <c r="I501" t="s">
        <v>7301</v>
      </c>
      <c r="J501" t="s">
        <v>7302</v>
      </c>
      <c r="K501" t="s">
        <v>74</v>
      </c>
      <c r="L501" t="s">
        <v>74</v>
      </c>
      <c r="M501" t="s">
        <v>77</v>
      </c>
      <c r="N501" t="s">
        <v>78</v>
      </c>
      <c r="O501" t="s">
        <v>74</v>
      </c>
      <c r="P501" t="s">
        <v>74</v>
      </c>
      <c r="Q501" t="s">
        <v>74</v>
      </c>
      <c r="R501" t="s">
        <v>74</v>
      </c>
      <c r="S501" t="s">
        <v>74</v>
      </c>
      <c r="T501" t="s">
        <v>7303</v>
      </c>
      <c r="U501" t="s">
        <v>7304</v>
      </c>
      <c r="V501" t="s">
        <v>7305</v>
      </c>
      <c r="W501" t="s">
        <v>7306</v>
      </c>
      <c r="X501" t="s">
        <v>7307</v>
      </c>
      <c r="Y501" t="s">
        <v>7308</v>
      </c>
      <c r="Z501" t="s">
        <v>7309</v>
      </c>
      <c r="AA501" t="s">
        <v>7310</v>
      </c>
      <c r="AB501" t="s">
        <v>7311</v>
      </c>
      <c r="AC501" t="s">
        <v>74</v>
      </c>
      <c r="AD501" t="s">
        <v>74</v>
      </c>
      <c r="AE501" t="s">
        <v>74</v>
      </c>
      <c r="AF501" t="s">
        <v>74</v>
      </c>
      <c r="AG501">
        <v>35</v>
      </c>
      <c r="AH501">
        <v>34</v>
      </c>
      <c r="AI501">
        <v>36</v>
      </c>
      <c r="AJ501">
        <v>0</v>
      </c>
      <c r="AK501">
        <v>52</v>
      </c>
      <c r="AL501" t="s">
        <v>5554</v>
      </c>
      <c r="AM501" t="s">
        <v>5555</v>
      </c>
      <c r="AN501" t="s">
        <v>5556</v>
      </c>
      <c r="AO501" t="s">
        <v>7312</v>
      </c>
      <c r="AP501" t="s">
        <v>7313</v>
      </c>
      <c r="AQ501" t="s">
        <v>74</v>
      </c>
      <c r="AR501" t="s">
        <v>7314</v>
      </c>
      <c r="AS501" t="s">
        <v>7315</v>
      </c>
      <c r="AT501" t="s">
        <v>74</v>
      </c>
      <c r="AU501">
        <v>2004</v>
      </c>
      <c r="AV501">
        <v>31</v>
      </c>
      <c r="AW501">
        <v>2</v>
      </c>
      <c r="AX501" t="s">
        <v>74</v>
      </c>
      <c r="AY501" t="s">
        <v>74</v>
      </c>
      <c r="AZ501" t="s">
        <v>74</v>
      </c>
      <c r="BA501" t="s">
        <v>74</v>
      </c>
      <c r="BB501">
        <v>195</v>
      </c>
      <c r="BC501">
        <v>202</v>
      </c>
      <c r="BD501" t="s">
        <v>74</v>
      </c>
      <c r="BE501" t="s">
        <v>7316</v>
      </c>
      <c r="BF501" t="str">
        <f>HYPERLINK("http://dx.doi.org/10.1071/FP03162","http://dx.doi.org/10.1071/FP03162")</f>
        <v>http://dx.doi.org/10.1071/FP03162</v>
      </c>
      <c r="BG501" t="s">
        <v>74</v>
      </c>
      <c r="BH501" t="s">
        <v>74</v>
      </c>
      <c r="BI501">
        <v>8</v>
      </c>
      <c r="BJ501" t="s">
        <v>1903</v>
      </c>
      <c r="BK501" t="s">
        <v>96</v>
      </c>
      <c r="BL501" t="s">
        <v>1903</v>
      </c>
      <c r="BM501" t="s">
        <v>7317</v>
      </c>
      <c r="BN501">
        <v>32688891</v>
      </c>
      <c r="BO501" t="s">
        <v>156</v>
      </c>
      <c r="BP501" t="s">
        <v>74</v>
      </c>
      <c r="BQ501" t="s">
        <v>74</v>
      </c>
      <c r="BR501" t="s">
        <v>99</v>
      </c>
      <c r="BS501" t="s">
        <v>7318</v>
      </c>
      <c r="BT501" t="str">
        <f>HYPERLINK("https%3A%2F%2Fwww.webofscience.com%2Fwos%2Fwoscc%2Ffull-record%2FWOS:000220001900010","View Full Record in Web of Science")</f>
        <v>View Full Record in Web of Science</v>
      </c>
    </row>
    <row r="502" spans="1:72" x14ac:dyDescent="0.15">
      <c r="A502" t="s">
        <v>72</v>
      </c>
      <c r="B502" t="s">
        <v>7319</v>
      </c>
      <c r="C502" t="s">
        <v>74</v>
      </c>
      <c r="D502" t="s">
        <v>74</v>
      </c>
      <c r="E502" t="s">
        <v>74</v>
      </c>
      <c r="F502" t="s">
        <v>7319</v>
      </c>
      <c r="G502" t="s">
        <v>74</v>
      </c>
      <c r="H502" t="s">
        <v>74</v>
      </c>
      <c r="I502" t="s">
        <v>7320</v>
      </c>
      <c r="J502" t="s">
        <v>7302</v>
      </c>
      <c r="K502" t="s">
        <v>74</v>
      </c>
      <c r="L502" t="s">
        <v>74</v>
      </c>
      <c r="M502" t="s">
        <v>77</v>
      </c>
      <c r="N502" t="s">
        <v>311</v>
      </c>
      <c r="O502" t="s">
        <v>7321</v>
      </c>
      <c r="P502">
        <v>2003</v>
      </c>
      <c r="Q502" t="s">
        <v>7322</v>
      </c>
      <c r="R502" t="s">
        <v>74</v>
      </c>
      <c r="S502" t="s">
        <v>7323</v>
      </c>
      <c r="T502" t="s">
        <v>7324</v>
      </c>
      <c r="U502" t="s">
        <v>7325</v>
      </c>
      <c r="V502" t="s">
        <v>7326</v>
      </c>
      <c r="W502" t="s">
        <v>7327</v>
      </c>
      <c r="X502" t="s">
        <v>7328</v>
      </c>
      <c r="Y502" t="s">
        <v>4244</v>
      </c>
      <c r="Z502" t="s">
        <v>7329</v>
      </c>
      <c r="AA502" t="s">
        <v>74</v>
      </c>
      <c r="AB502" t="s">
        <v>74</v>
      </c>
      <c r="AC502" t="s">
        <v>74</v>
      </c>
      <c r="AD502" t="s">
        <v>74</v>
      </c>
      <c r="AE502" t="s">
        <v>74</v>
      </c>
      <c r="AF502" t="s">
        <v>74</v>
      </c>
      <c r="AG502">
        <v>8</v>
      </c>
      <c r="AH502">
        <v>9</v>
      </c>
      <c r="AI502">
        <v>9</v>
      </c>
      <c r="AJ502">
        <v>1</v>
      </c>
      <c r="AK502">
        <v>6</v>
      </c>
      <c r="AL502" t="s">
        <v>5554</v>
      </c>
      <c r="AM502" t="s">
        <v>5555</v>
      </c>
      <c r="AN502" t="s">
        <v>5556</v>
      </c>
      <c r="AO502" t="s">
        <v>7312</v>
      </c>
      <c r="AP502" t="s">
        <v>7313</v>
      </c>
      <c r="AQ502" t="s">
        <v>74</v>
      </c>
      <c r="AR502" t="s">
        <v>7314</v>
      </c>
      <c r="AS502" t="s">
        <v>7315</v>
      </c>
      <c r="AT502" t="s">
        <v>74</v>
      </c>
      <c r="AU502">
        <v>2004</v>
      </c>
      <c r="AV502">
        <v>31</v>
      </c>
      <c r="AW502">
        <v>5</v>
      </c>
      <c r="AX502" t="s">
        <v>74</v>
      </c>
      <c r="AY502" t="s">
        <v>74</v>
      </c>
      <c r="AZ502" t="s">
        <v>74</v>
      </c>
      <c r="BA502" t="s">
        <v>74</v>
      </c>
      <c r="BB502">
        <v>559</v>
      </c>
      <c r="BC502">
        <v>562</v>
      </c>
      <c r="BD502" t="s">
        <v>74</v>
      </c>
      <c r="BE502" t="s">
        <v>7330</v>
      </c>
      <c r="BF502" t="str">
        <f>HYPERLINK("http://dx.doi.org/10.1071/FP03213","http://dx.doi.org/10.1071/FP03213")</f>
        <v>http://dx.doi.org/10.1071/FP03213</v>
      </c>
      <c r="BG502" t="s">
        <v>74</v>
      </c>
      <c r="BH502" t="s">
        <v>74</v>
      </c>
      <c r="BI502">
        <v>4</v>
      </c>
      <c r="BJ502" t="s">
        <v>1903</v>
      </c>
      <c r="BK502" t="s">
        <v>332</v>
      </c>
      <c r="BL502" t="s">
        <v>1903</v>
      </c>
      <c r="BM502" t="s">
        <v>7331</v>
      </c>
      <c r="BN502">
        <v>32688927</v>
      </c>
      <c r="BO502" t="s">
        <v>74</v>
      </c>
      <c r="BP502" t="s">
        <v>74</v>
      </c>
      <c r="BQ502" t="s">
        <v>74</v>
      </c>
      <c r="BR502" t="s">
        <v>99</v>
      </c>
      <c r="BS502" t="s">
        <v>7332</v>
      </c>
      <c r="BT502" t="str">
        <f>HYPERLINK("https%3A%2F%2Fwww.webofscience.com%2Fwos%2Fwoscc%2Ffull-record%2FWOS:000221713600017","View Full Record in Web of Science")</f>
        <v>View Full Record in Web of Science</v>
      </c>
    </row>
    <row r="503" spans="1:72" x14ac:dyDescent="0.15">
      <c r="A503" t="s">
        <v>72</v>
      </c>
      <c r="B503" t="s">
        <v>7333</v>
      </c>
      <c r="C503" t="s">
        <v>74</v>
      </c>
      <c r="D503" t="s">
        <v>74</v>
      </c>
      <c r="E503" t="s">
        <v>74</v>
      </c>
      <c r="F503" t="s">
        <v>7333</v>
      </c>
      <c r="G503" t="s">
        <v>74</v>
      </c>
      <c r="H503" t="s">
        <v>74</v>
      </c>
      <c r="I503" t="s">
        <v>7334</v>
      </c>
      <c r="J503" t="s">
        <v>7302</v>
      </c>
      <c r="K503" t="s">
        <v>74</v>
      </c>
      <c r="L503" t="s">
        <v>74</v>
      </c>
      <c r="M503" t="s">
        <v>77</v>
      </c>
      <c r="N503" t="s">
        <v>78</v>
      </c>
      <c r="O503" t="s">
        <v>74</v>
      </c>
      <c r="P503" t="s">
        <v>74</v>
      </c>
      <c r="Q503" t="s">
        <v>74</v>
      </c>
      <c r="R503" t="s">
        <v>74</v>
      </c>
      <c r="S503" t="s">
        <v>74</v>
      </c>
      <c r="T503" t="s">
        <v>7335</v>
      </c>
      <c r="U503" t="s">
        <v>7336</v>
      </c>
      <c r="V503" t="s">
        <v>7337</v>
      </c>
      <c r="W503" t="s">
        <v>7338</v>
      </c>
      <c r="X503" t="s">
        <v>7339</v>
      </c>
      <c r="Y503" t="s">
        <v>3403</v>
      </c>
      <c r="Z503" t="s">
        <v>7340</v>
      </c>
      <c r="AA503" t="s">
        <v>7341</v>
      </c>
      <c r="AB503" t="s">
        <v>7342</v>
      </c>
      <c r="AC503" t="s">
        <v>74</v>
      </c>
      <c r="AD503" t="s">
        <v>74</v>
      </c>
      <c r="AE503" t="s">
        <v>74</v>
      </c>
      <c r="AF503" t="s">
        <v>74</v>
      </c>
      <c r="AG503">
        <v>57</v>
      </c>
      <c r="AH503">
        <v>41</v>
      </c>
      <c r="AI503">
        <v>46</v>
      </c>
      <c r="AJ503">
        <v>0</v>
      </c>
      <c r="AK503">
        <v>20</v>
      </c>
      <c r="AL503" t="s">
        <v>5554</v>
      </c>
      <c r="AM503" t="s">
        <v>5555</v>
      </c>
      <c r="AN503" t="s">
        <v>5556</v>
      </c>
      <c r="AO503" t="s">
        <v>7312</v>
      </c>
      <c r="AP503" t="s">
        <v>7313</v>
      </c>
      <c r="AQ503" t="s">
        <v>74</v>
      </c>
      <c r="AR503" t="s">
        <v>7314</v>
      </c>
      <c r="AS503" t="s">
        <v>7315</v>
      </c>
      <c r="AT503" t="s">
        <v>74</v>
      </c>
      <c r="AU503">
        <v>2004</v>
      </c>
      <c r="AV503">
        <v>31</v>
      </c>
      <c r="AW503">
        <v>7</v>
      </c>
      <c r="AX503" t="s">
        <v>74</v>
      </c>
      <c r="AY503" t="s">
        <v>74</v>
      </c>
      <c r="AZ503" t="s">
        <v>74</v>
      </c>
      <c r="BA503" t="s">
        <v>74</v>
      </c>
      <c r="BB503">
        <v>731</v>
      </c>
      <c r="BC503">
        <v>741</v>
      </c>
      <c r="BD503" t="s">
        <v>74</v>
      </c>
      <c r="BE503" t="s">
        <v>7343</v>
      </c>
      <c r="BF503" t="str">
        <f>HYPERLINK("http://dx.doi.org/10.1071/FP03082","http://dx.doi.org/10.1071/FP03082")</f>
        <v>http://dx.doi.org/10.1071/FP03082</v>
      </c>
      <c r="BG503" t="s">
        <v>74</v>
      </c>
      <c r="BH503" t="s">
        <v>74</v>
      </c>
      <c r="BI503">
        <v>11</v>
      </c>
      <c r="BJ503" t="s">
        <v>1903</v>
      </c>
      <c r="BK503" t="s">
        <v>96</v>
      </c>
      <c r="BL503" t="s">
        <v>1903</v>
      </c>
      <c r="BM503" t="s">
        <v>7344</v>
      </c>
      <c r="BN503">
        <v>32688943</v>
      </c>
      <c r="BO503" t="s">
        <v>74</v>
      </c>
      <c r="BP503" t="s">
        <v>74</v>
      </c>
      <c r="BQ503" t="s">
        <v>74</v>
      </c>
      <c r="BR503" t="s">
        <v>99</v>
      </c>
      <c r="BS503" t="s">
        <v>7345</v>
      </c>
      <c r="BT503" t="str">
        <f>HYPERLINK("https%3A%2F%2Fwww.webofscience.com%2Fwos%2Fwoscc%2Ffull-record%2FWOS:000222913000006","View Full Record in Web of Science")</f>
        <v>View Full Record in Web of Science</v>
      </c>
    </row>
    <row r="504" spans="1:72" x14ac:dyDescent="0.15">
      <c r="A504" t="s">
        <v>3934</v>
      </c>
      <c r="B504" t="s">
        <v>7346</v>
      </c>
      <c r="C504" t="s">
        <v>74</v>
      </c>
      <c r="D504" t="s">
        <v>7347</v>
      </c>
      <c r="E504" t="s">
        <v>74</v>
      </c>
      <c r="F504" t="s">
        <v>7346</v>
      </c>
      <c r="G504" t="s">
        <v>74</v>
      </c>
      <c r="H504" t="s">
        <v>7348</v>
      </c>
      <c r="I504" t="s">
        <v>7349</v>
      </c>
      <c r="J504" t="s">
        <v>7350</v>
      </c>
      <c r="K504" t="s">
        <v>7351</v>
      </c>
      <c r="L504" t="s">
        <v>74</v>
      </c>
      <c r="M504" t="s">
        <v>77</v>
      </c>
      <c r="N504" t="s">
        <v>3940</v>
      </c>
      <c r="O504" t="s">
        <v>7352</v>
      </c>
      <c r="P504" t="s">
        <v>7353</v>
      </c>
      <c r="Q504" t="s">
        <v>7354</v>
      </c>
      <c r="R504" t="s">
        <v>74</v>
      </c>
      <c r="S504" t="s">
        <v>74</v>
      </c>
      <c r="T504" t="s">
        <v>74</v>
      </c>
      <c r="U504" t="s">
        <v>7355</v>
      </c>
      <c r="V504" t="s">
        <v>7356</v>
      </c>
      <c r="W504" t="s">
        <v>7357</v>
      </c>
      <c r="X504" t="s">
        <v>7358</v>
      </c>
      <c r="Y504" t="s">
        <v>7359</v>
      </c>
      <c r="Z504" t="s">
        <v>74</v>
      </c>
      <c r="AA504" t="s">
        <v>7360</v>
      </c>
      <c r="AB504" t="s">
        <v>74</v>
      </c>
      <c r="AC504" t="s">
        <v>74</v>
      </c>
      <c r="AD504" t="s">
        <v>74</v>
      </c>
      <c r="AE504" t="s">
        <v>74</v>
      </c>
      <c r="AF504" t="s">
        <v>74</v>
      </c>
      <c r="AG504">
        <v>10</v>
      </c>
      <c r="AH504">
        <v>12</v>
      </c>
      <c r="AI504">
        <v>13</v>
      </c>
      <c r="AJ504">
        <v>0</v>
      </c>
      <c r="AK504">
        <v>1</v>
      </c>
      <c r="AL504" t="s">
        <v>3779</v>
      </c>
      <c r="AM504" t="s">
        <v>3780</v>
      </c>
      <c r="AN504" t="s">
        <v>7361</v>
      </c>
      <c r="AO504" t="s">
        <v>7362</v>
      </c>
      <c r="AP504" t="s">
        <v>74</v>
      </c>
      <c r="AQ504" t="s">
        <v>7363</v>
      </c>
      <c r="AR504" t="s">
        <v>7364</v>
      </c>
      <c r="AS504" t="s">
        <v>74</v>
      </c>
      <c r="AT504" t="s">
        <v>74</v>
      </c>
      <c r="AU504">
        <v>2004</v>
      </c>
      <c r="AV504">
        <v>727</v>
      </c>
      <c r="AW504" t="s">
        <v>74</v>
      </c>
      <c r="AX504" t="s">
        <v>74</v>
      </c>
      <c r="AY504" t="s">
        <v>74</v>
      </c>
      <c r="AZ504" t="s">
        <v>74</v>
      </c>
      <c r="BA504" t="s">
        <v>74</v>
      </c>
      <c r="BB504">
        <v>146</v>
      </c>
      <c r="BC504">
        <v>149</v>
      </c>
      <c r="BD504" t="s">
        <v>74</v>
      </c>
      <c r="BE504" t="s">
        <v>74</v>
      </c>
      <c r="BF504" t="s">
        <v>74</v>
      </c>
      <c r="BG504" t="s">
        <v>74</v>
      </c>
      <c r="BH504" t="s">
        <v>74</v>
      </c>
      <c r="BI504">
        <v>4</v>
      </c>
      <c r="BJ504" t="s">
        <v>6041</v>
      </c>
      <c r="BK504" t="s">
        <v>3955</v>
      </c>
      <c r="BL504" t="s">
        <v>6042</v>
      </c>
      <c r="BM504" t="s">
        <v>7365</v>
      </c>
      <c r="BN504" t="s">
        <v>74</v>
      </c>
      <c r="BO504" t="s">
        <v>74</v>
      </c>
      <c r="BP504" t="s">
        <v>74</v>
      </c>
      <c r="BQ504" t="s">
        <v>74</v>
      </c>
      <c r="BR504" t="s">
        <v>99</v>
      </c>
      <c r="BS504" t="s">
        <v>7366</v>
      </c>
      <c r="BT504" t="str">
        <f>HYPERLINK("https%3A%2F%2Fwww.webofscience.com%2Fwos%2Fwoscc%2Ffull-record%2FWOS:000224719700029","View Full Record in Web of Science")</f>
        <v>View Full Record in Web of Science</v>
      </c>
    </row>
    <row r="505" spans="1:72" x14ac:dyDescent="0.15">
      <c r="A505" t="s">
        <v>3934</v>
      </c>
      <c r="B505" t="s">
        <v>7367</v>
      </c>
      <c r="C505" t="s">
        <v>74</v>
      </c>
      <c r="D505" t="s">
        <v>7368</v>
      </c>
      <c r="E505" t="s">
        <v>74</v>
      </c>
      <c r="F505" t="s">
        <v>7367</v>
      </c>
      <c r="G505" t="s">
        <v>74</v>
      </c>
      <c r="H505" t="s">
        <v>74</v>
      </c>
      <c r="I505" t="s">
        <v>7369</v>
      </c>
      <c r="J505" t="s">
        <v>7370</v>
      </c>
      <c r="K505" t="s">
        <v>7371</v>
      </c>
      <c r="L505" t="s">
        <v>74</v>
      </c>
      <c r="M505" t="s">
        <v>77</v>
      </c>
      <c r="N505" t="s">
        <v>3940</v>
      </c>
      <c r="O505" t="s">
        <v>7372</v>
      </c>
      <c r="P505" t="s">
        <v>7373</v>
      </c>
      <c r="Q505" t="s">
        <v>7374</v>
      </c>
      <c r="R505" t="s">
        <v>74</v>
      </c>
      <c r="S505" t="s">
        <v>74</v>
      </c>
      <c r="T505" t="s">
        <v>74</v>
      </c>
      <c r="U505" t="s">
        <v>7375</v>
      </c>
      <c r="V505" t="s">
        <v>7376</v>
      </c>
      <c r="W505" t="s">
        <v>7377</v>
      </c>
      <c r="X505" t="s">
        <v>7378</v>
      </c>
      <c r="Y505" t="s">
        <v>7379</v>
      </c>
      <c r="Z505" t="s">
        <v>74</v>
      </c>
      <c r="AA505" t="s">
        <v>74</v>
      </c>
      <c r="AB505" t="s">
        <v>74</v>
      </c>
      <c r="AC505" t="s">
        <v>74</v>
      </c>
      <c r="AD505" t="s">
        <v>74</v>
      </c>
      <c r="AE505" t="s">
        <v>74</v>
      </c>
      <c r="AF505" t="s">
        <v>74</v>
      </c>
      <c r="AG505">
        <v>78</v>
      </c>
      <c r="AH505">
        <v>0</v>
      </c>
      <c r="AI505">
        <v>0</v>
      </c>
      <c r="AJ505">
        <v>0</v>
      </c>
      <c r="AK505">
        <v>2</v>
      </c>
      <c r="AL505" t="s">
        <v>528</v>
      </c>
      <c r="AM505" t="s">
        <v>529</v>
      </c>
      <c r="AN505" t="s">
        <v>4157</v>
      </c>
      <c r="AO505" t="s">
        <v>74</v>
      </c>
      <c r="AP505" t="s">
        <v>74</v>
      </c>
      <c r="AQ505" t="s">
        <v>7380</v>
      </c>
      <c r="AR505" t="s">
        <v>7381</v>
      </c>
      <c r="AS505" t="s">
        <v>74</v>
      </c>
      <c r="AT505" t="s">
        <v>74</v>
      </c>
      <c r="AU505">
        <v>2004</v>
      </c>
      <c r="AV505" t="s">
        <v>74</v>
      </c>
      <c r="AW505">
        <v>9</v>
      </c>
      <c r="AX505" t="s">
        <v>74</v>
      </c>
      <c r="AY505" t="s">
        <v>74</v>
      </c>
      <c r="AZ505" t="s">
        <v>74</v>
      </c>
      <c r="BA505" t="s">
        <v>74</v>
      </c>
      <c r="BB505">
        <v>109</v>
      </c>
      <c r="BC505">
        <v>124</v>
      </c>
      <c r="BD505" t="s">
        <v>74</v>
      </c>
      <c r="BE505" t="s">
        <v>74</v>
      </c>
      <c r="BF505" t="s">
        <v>74</v>
      </c>
      <c r="BG505" t="s">
        <v>74</v>
      </c>
      <c r="BH505" t="s">
        <v>74</v>
      </c>
      <c r="BI505">
        <v>16</v>
      </c>
      <c r="BJ505" t="s">
        <v>262</v>
      </c>
      <c r="BK505" t="s">
        <v>3955</v>
      </c>
      <c r="BL505" t="s">
        <v>262</v>
      </c>
      <c r="BM505" t="s">
        <v>7382</v>
      </c>
      <c r="BN505" t="s">
        <v>74</v>
      </c>
      <c r="BO505" t="s">
        <v>74</v>
      </c>
      <c r="BP505" t="s">
        <v>74</v>
      </c>
      <c r="BQ505" t="s">
        <v>74</v>
      </c>
      <c r="BR505" t="s">
        <v>99</v>
      </c>
      <c r="BS505" t="s">
        <v>7383</v>
      </c>
      <c r="BT505" t="str">
        <f>HYPERLINK("https%3A%2F%2Fwww.webofscience.com%2Fwos%2Fwoscc%2Ffull-record%2FWOS:000224951800009","View Full Record in Web of Science")</f>
        <v>View Full Record in Web of Science</v>
      </c>
    </row>
    <row r="506" spans="1:72" x14ac:dyDescent="0.15">
      <c r="A506" t="s">
        <v>72</v>
      </c>
      <c r="B506" t="s">
        <v>7384</v>
      </c>
      <c r="C506" t="s">
        <v>74</v>
      </c>
      <c r="D506" t="s">
        <v>74</v>
      </c>
      <c r="E506" t="s">
        <v>74</v>
      </c>
      <c r="F506" t="s">
        <v>7384</v>
      </c>
      <c r="G506" t="s">
        <v>74</v>
      </c>
      <c r="H506" t="s">
        <v>74</v>
      </c>
      <c r="I506" t="s">
        <v>7385</v>
      </c>
      <c r="J506" t="s">
        <v>7386</v>
      </c>
      <c r="K506" t="s">
        <v>74</v>
      </c>
      <c r="L506" t="s">
        <v>74</v>
      </c>
      <c r="M506" t="s">
        <v>77</v>
      </c>
      <c r="N506" t="s">
        <v>78</v>
      </c>
      <c r="O506" t="s">
        <v>74</v>
      </c>
      <c r="P506" t="s">
        <v>74</v>
      </c>
      <c r="Q506" t="s">
        <v>74</v>
      </c>
      <c r="R506" t="s">
        <v>74</v>
      </c>
      <c r="S506" t="s">
        <v>74</v>
      </c>
      <c r="T506" t="s">
        <v>7387</v>
      </c>
      <c r="U506" t="s">
        <v>7388</v>
      </c>
      <c r="V506" t="s">
        <v>7389</v>
      </c>
      <c r="W506" t="s">
        <v>7390</v>
      </c>
      <c r="X506" t="s">
        <v>7391</v>
      </c>
      <c r="Y506" t="s">
        <v>7392</v>
      </c>
      <c r="Z506" t="s">
        <v>7393</v>
      </c>
      <c r="AA506" t="s">
        <v>7394</v>
      </c>
      <c r="AB506" t="s">
        <v>7395</v>
      </c>
      <c r="AC506" t="s">
        <v>74</v>
      </c>
      <c r="AD506" t="s">
        <v>74</v>
      </c>
      <c r="AE506" t="s">
        <v>74</v>
      </c>
      <c r="AF506" t="s">
        <v>74</v>
      </c>
      <c r="AG506">
        <v>41</v>
      </c>
      <c r="AH506">
        <v>119</v>
      </c>
      <c r="AI506">
        <v>126</v>
      </c>
      <c r="AJ506">
        <v>3</v>
      </c>
      <c r="AK506">
        <v>20</v>
      </c>
      <c r="AL506" t="s">
        <v>7396</v>
      </c>
      <c r="AM506" t="s">
        <v>1721</v>
      </c>
      <c r="AN506" t="s">
        <v>7397</v>
      </c>
      <c r="AO506" t="s">
        <v>7398</v>
      </c>
      <c r="AP506" t="s">
        <v>7399</v>
      </c>
      <c r="AQ506" t="s">
        <v>74</v>
      </c>
      <c r="AR506" t="s">
        <v>7400</v>
      </c>
      <c r="AS506" t="s">
        <v>7401</v>
      </c>
      <c r="AT506" t="s">
        <v>74</v>
      </c>
      <c r="AU506">
        <v>2004</v>
      </c>
      <c r="AV506">
        <v>38</v>
      </c>
      <c r="AW506">
        <v>3</v>
      </c>
      <c r="AX506" t="s">
        <v>74</v>
      </c>
      <c r="AY506" t="s">
        <v>74</v>
      </c>
      <c r="AZ506" t="s">
        <v>74</v>
      </c>
      <c r="BA506" t="s">
        <v>74</v>
      </c>
      <c r="BB506">
        <v>229</v>
      </c>
      <c r="BC506">
        <v>241</v>
      </c>
      <c r="BD506" t="s">
        <v>74</v>
      </c>
      <c r="BE506" t="s">
        <v>7402</v>
      </c>
      <c r="BF506" t="str">
        <f>HYPERLINK("http://dx.doi.org/10.2343/geochemj.38.229","http://dx.doi.org/10.2343/geochemj.38.229")</f>
        <v>http://dx.doi.org/10.2343/geochemj.38.229</v>
      </c>
      <c r="BG506" t="s">
        <v>74</v>
      </c>
      <c r="BH506" t="s">
        <v>74</v>
      </c>
      <c r="BI506">
        <v>13</v>
      </c>
      <c r="BJ506" t="s">
        <v>262</v>
      </c>
      <c r="BK506" t="s">
        <v>96</v>
      </c>
      <c r="BL506" t="s">
        <v>262</v>
      </c>
      <c r="BM506" t="s">
        <v>7403</v>
      </c>
      <c r="BN506" t="s">
        <v>74</v>
      </c>
      <c r="BO506" t="s">
        <v>2610</v>
      </c>
      <c r="BP506" t="s">
        <v>74</v>
      </c>
      <c r="BQ506" t="s">
        <v>74</v>
      </c>
      <c r="BR506" t="s">
        <v>99</v>
      </c>
      <c r="BS506" t="s">
        <v>7404</v>
      </c>
      <c r="BT506" t="str">
        <f>HYPERLINK("https%3A%2F%2Fwww.webofscience.com%2Fwos%2Fwoscc%2Ffull-record%2FWOS:000223303500003","View Full Record in Web of Science")</f>
        <v>View Full Record in Web of Science</v>
      </c>
    </row>
    <row r="507" spans="1:72" x14ac:dyDescent="0.15">
      <c r="A507" t="s">
        <v>72</v>
      </c>
      <c r="B507" t="s">
        <v>7405</v>
      </c>
      <c r="C507" t="s">
        <v>74</v>
      </c>
      <c r="D507" t="s">
        <v>74</v>
      </c>
      <c r="E507" t="s">
        <v>74</v>
      </c>
      <c r="F507" t="s">
        <v>7405</v>
      </c>
      <c r="G507" t="s">
        <v>74</v>
      </c>
      <c r="H507" t="s">
        <v>74</v>
      </c>
      <c r="I507" t="s">
        <v>7406</v>
      </c>
      <c r="J507" t="s">
        <v>1287</v>
      </c>
      <c r="K507" t="s">
        <v>74</v>
      </c>
      <c r="L507" t="s">
        <v>74</v>
      </c>
      <c r="M507" t="s">
        <v>77</v>
      </c>
      <c r="N507" t="s">
        <v>78</v>
      </c>
      <c r="O507" t="s">
        <v>74</v>
      </c>
      <c r="P507" t="s">
        <v>74</v>
      </c>
      <c r="Q507" t="s">
        <v>74</v>
      </c>
      <c r="R507" t="s">
        <v>74</v>
      </c>
      <c r="S507" t="s">
        <v>74</v>
      </c>
      <c r="T507" t="s">
        <v>74</v>
      </c>
      <c r="U507" t="s">
        <v>7407</v>
      </c>
      <c r="V507" t="s">
        <v>7408</v>
      </c>
      <c r="W507" t="s">
        <v>7409</v>
      </c>
      <c r="X507" t="s">
        <v>7410</v>
      </c>
      <c r="Y507" t="s">
        <v>7411</v>
      </c>
      <c r="Z507" t="s">
        <v>7412</v>
      </c>
      <c r="AA507" t="s">
        <v>7413</v>
      </c>
      <c r="AB507" t="s">
        <v>7414</v>
      </c>
      <c r="AC507" t="s">
        <v>74</v>
      </c>
      <c r="AD507" t="s">
        <v>74</v>
      </c>
      <c r="AE507" t="s">
        <v>74</v>
      </c>
      <c r="AF507" t="s">
        <v>74</v>
      </c>
      <c r="AG507">
        <v>36</v>
      </c>
      <c r="AH507">
        <v>23</v>
      </c>
      <c r="AI507">
        <v>25</v>
      </c>
      <c r="AJ507">
        <v>1</v>
      </c>
      <c r="AK507">
        <v>6</v>
      </c>
      <c r="AL507" t="s">
        <v>213</v>
      </c>
      <c r="AM507" t="s">
        <v>214</v>
      </c>
      <c r="AN507" t="s">
        <v>215</v>
      </c>
      <c r="AO507" t="s">
        <v>1294</v>
      </c>
      <c r="AP507" t="s">
        <v>1295</v>
      </c>
      <c r="AQ507" t="s">
        <v>74</v>
      </c>
      <c r="AR507" t="s">
        <v>1296</v>
      </c>
      <c r="AS507" t="s">
        <v>1297</v>
      </c>
      <c r="AT507" t="s">
        <v>4117</v>
      </c>
      <c r="AU507">
        <v>2004</v>
      </c>
      <c r="AV507">
        <v>68</v>
      </c>
      <c r="AW507">
        <v>1</v>
      </c>
      <c r="AX507" t="s">
        <v>74</v>
      </c>
      <c r="AY507" t="s">
        <v>74</v>
      </c>
      <c r="AZ507" t="s">
        <v>74</v>
      </c>
      <c r="BA507" t="s">
        <v>74</v>
      </c>
      <c r="BB507">
        <v>89</v>
      </c>
      <c r="BC507">
        <v>100</v>
      </c>
      <c r="BD507" t="s">
        <v>74</v>
      </c>
      <c r="BE507" t="s">
        <v>7415</v>
      </c>
      <c r="BF507" t="str">
        <f>HYPERLINK("http://dx.doi.org/10.1016/S0016-7037(03)00279-5","http://dx.doi.org/10.1016/S0016-7037(03)00279-5")</f>
        <v>http://dx.doi.org/10.1016/S0016-7037(03)00279-5</v>
      </c>
      <c r="BG507" t="s">
        <v>74</v>
      </c>
      <c r="BH507" t="s">
        <v>74</v>
      </c>
      <c r="BI507">
        <v>12</v>
      </c>
      <c r="BJ507" t="s">
        <v>262</v>
      </c>
      <c r="BK507" t="s">
        <v>96</v>
      </c>
      <c r="BL507" t="s">
        <v>262</v>
      </c>
      <c r="BM507" t="s">
        <v>7416</v>
      </c>
      <c r="BN507" t="s">
        <v>74</v>
      </c>
      <c r="BO507" t="s">
        <v>74</v>
      </c>
      <c r="BP507" t="s">
        <v>74</v>
      </c>
      <c r="BQ507" t="s">
        <v>74</v>
      </c>
      <c r="BR507" t="s">
        <v>99</v>
      </c>
      <c r="BS507" t="s">
        <v>7417</v>
      </c>
      <c r="BT507" t="str">
        <f>HYPERLINK("https%3A%2F%2Fwww.webofscience.com%2Fwos%2Fwoscc%2Ffull-record%2FWOS:000187851900007","View Full Record in Web of Science")</f>
        <v>View Full Record in Web of Science</v>
      </c>
    </row>
    <row r="508" spans="1:72" x14ac:dyDescent="0.15">
      <c r="A508" t="s">
        <v>72</v>
      </c>
      <c r="B508" t="s">
        <v>7418</v>
      </c>
      <c r="C508" t="s">
        <v>74</v>
      </c>
      <c r="D508" t="s">
        <v>74</v>
      </c>
      <c r="E508" t="s">
        <v>74</v>
      </c>
      <c r="F508" t="s">
        <v>7418</v>
      </c>
      <c r="G508" t="s">
        <v>74</v>
      </c>
      <c r="H508" t="s">
        <v>74</v>
      </c>
      <c r="I508" t="s">
        <v>7419</v>
      </c>
      <c r="J508" t="s">
        <v>1338</v>
      </c>
      <c r="K508" t="s">
        <v>74</v>
      </c>
      <c r="L508" t="s">
        <v>74</v>
      </c>
      <c r="M508" t="s">
        <v>77</v>
      </c>
      <c r="N508" t="s">
        <v>78</v>
      </c>
      <c r="O508" t="s">
        <v>74</v>
      </c>
      <c r="P508" t="s">
        <v>74</v>
      </c>
      <c r="Q508" t="s">
        <v>74</v>
      </c>
      <c r="R508" t="s">
        <v>74</v>
      </c>
      <c r="S508" t="s">
        <v>74</v>
      </c>
      <c r="T508" t="s">
        <v>7420</v>
      </c>
      <c r="U508" t="s">
        <v>7421</v>
      </c>
      <c r="V508" t="s">
        <v>7422</v>
      </c>
      <c r="W508" t="s">
        <v>2170</v>
      </c>
      <c r="X508" t="s">
        <v>2171</v>
      </c>
      <c r="Y508" t="s">
        <v>2172</v>
      </c>
      <c r="Z508" t="s">
        <v>2173</v>
      </c>
      <c r="AA508" t="s">
        <v>7423</v>
      </c>
      <c r="AB508" t="s">
        <v>2174</v>
      </c>
      <c r="AC508" t="s">
        <v>74</v>
      </c>
      <c r="AD508" t="s">
        <v>74</v>
      </c>
      <c r="AE508" t="s">
        <v>74</v>
      </c>
      <c r="AF508" t="s">
        <v>74</v>
      </c>
      <c r="AG508">
        <v>25</v>
      </c>
      <c r="AH508">
        <v>183</v>
      </c>
      <c r="AI508">
        <v>191</v>
      </c>
      <c r="AJ508">
        <v>0</v>
      </c>
      <c r="AK508">
        <v>28</v>
      </c>
      <c r="AL508" t="s">
        <v>1312</v>
      </c>
      <c r="AM508" t="s">
        <v>1313</v>
      </c>
      <c r="AN508" t="s">
        <v>1314</v>
      </c>
      <c r="AO508" t="s">
        <v>1347</v>
      </c>
      <c r="AP508" t="s">
        <v>1348</v>
      </c>
      <c r="AQ508" t="s">
        <v>74</v>
      </c>
      <c r="AR508" t="s">
        <v>1338</v>
      </c>
      <c r="AS508" t="s">
        <v>561</v>
      </c>
      <c r="AT508" t="s">
        <v>4117</v>
      </c>
      <c r="AU508">
        <v>2004</v>
      </c>
      <c r="AV508">
        <v>32</v>
      </c>
      <c r="AW508">
        <v>1</v>
      </c>
      <c r="AX508" t="s">
        <v>74</v>
      </c>
      <c r="AY508" t="s">
        <v>74</v>
      </c>
      <c r="AZ508" t="s">
        <v>74</v>
      </c>
      <c r="BA508" t="s">
        <v>74</v>
      </c>
      <c r="BB508">
        <v>13</v>
      </c>
      <c r="BC508">
        <v>16</v>
      </c>
      <c r="BD508" t="s">
        <v>74</v>
      </c>
      <c r="BE508" t="s">
        <v>7424</v>
      </c>
      <c r="BF508" t="str">
        <f>HYPERLINK("http://dx.doi.org/10.1130/G19864.1","http://dx.doi.org/10.1130/G19864.1")</f>
        <v>http://dx.doi.org/10.1130/G19864.1</v>
      </c>
      <c r="BG508" t="s">
        <v>74</v>
      </c>
      <c r="BH508" t="s">
        <v>74</v>
      </c>
      <c r="BI508">
        <v>4</v>
      </c>
      <c r="BJ508" t="s">
        <v>561</v>
      </c>
      <c r="BK508" t="s">
        <v>96</v>
      </c>
      <c r="BL508" t="s">
        <v>561</v>
      </c>
      <c r="BM508" t="s">
        <v>7425</v>
      </c>
      <c r="BN508" t="s">
        <v>74</v>
      </c>
      <c r="BO508" t="s">
        <v>74</v>
      </c>
      <c r="BP508" t="s">
        <v>74</v>
      </c>
      <c r="BQ508" t="s">
        <v>74</v>
      </c>
      <c r="BR508" t="s">
        <v>99</v>
      </c>
      <c r="BS508" t="s">
        <v>7426</v>
      </c>
      <c r="BT508" t="str">
        <f>HYPERLINK("https%3A%2F%2Fwww.webofscience.com%2Fwos%2Fwoscc%2Ffull-record%2FWOS:000188253800004","View Full Record in Web of Science")</f>
        <v>View Full Record in Web of Science</v>
      </c>
    </row>
    <row r="509" spans="1:72" x14ac:dyDescent="0.15">
      <c r="A509" t="s">
        <v>72</v>
      </c>
      <c r="B509" t="s">
        <v>7427</v>
      </c>
      <c r="C509" t="s">
        <v>74</v>
      </c>
      <c r="D509" t="s">
        <v>74</v>
      </c>
      <c r="E509" t="s">
        <v>74</v>
      </c>
      <c r="F509" t="s">
        <v>7427</v>
      </c>
      <c r="G509" t="s">
        <v>74</v>
      </c>
      <c r="H509" t="s">
        <v>74</v>
      </c>
      <c r="I509" t="s">
        <v>7428</v>
      </c>
      <c r="J509" t="s">
        <v>1338</v>
      </c>
      <c r="K509" t="s">
        <v>74</v>
      </c>
      <c r="L509" t="s">
        <v>74</v>
      </c>
      <c r="M509" t="s">
        <v>77</v>
      </c>
      <c r="N509" t="s">
        <v>78</v>
      </c>
      <c r="O509" t="s">
        <v>74</v>
      </c>
      <c r="P509" t="s">
        <v>74</v>
      </c>
      <c r="Q509" t="s">
        <v>74</v>
      </c>
      <c r="R509" t="s">
        <v>74</v>
      </c>
      <c r="S509" t="s">
        <v>74</v>
      </c>
      <c r="T509" t="s">
        <v>7429</v>
      </c>
      <c r="U509" t="s">
        <v>7430</v>
      </c>
      <c r="V509" t="s">
        <v>7431</v>
      </c>
      <c r="W509" t="s">
        <v>7432</v>
      </c>
      <c r="X509" t="s">
        <v>7433</v>
      </c>
      <c r="Y509" t="s">
        <v>7434</v>
      </c>
      <c r="Z509" t="s">
        <v>7435</v>
      </c>
      <c r="AA509" t="s">
        <v>7436</v>
      </c>
      <c r="AB509" t="s">
        <v>7437</v>
      </c>
      <c r="AC509" t="s">
        <v>74</v>
      </c>
      <c r="AD509" t="s">
        <v>74</v>
      </c>
      <c r="AE509" t="s">
        <v>74</v>
      </c>
      <c r="AF509" t="s">
        <v>74</v>
      </c>
      <c r="AG509">
        <v>25</v>
      </c>
      <c r="AH509">
        <v>72</v>
      </c>
      <c r="AI509">
        <v>85</v>
      </c>
      <c r="AJ509">
        <v>0</v>
      </c>
      <c r="AK509">
        <v>9</v>
      </c>
      <c r="AL509" t="s">
        <v>1312</v>
      </c>
      <c r="AM509" t="s">
        <v>1313</v>
      </c>
      <c r="AN509" t="s">
        <v>1314</v>
      </c>
      <c r="AO509" t="s">
        <v>7438</v>
      </c>
      <c r="AP509" t="s">
        <v>74</v>
      </c>
      <c r="AQ509" t="s">
        <v>74</v>
      </c>
      <c r="AR509" t="s">
        <v>1338</v>
      </c>
      <c r="AS509" t="s">
        <v>561</v>
      </c>
      <c r="AT509" t="s">
        <v>4117</v>
      </c>
      <c r="AU509">
        <v>2004</v>
      </c>
      <c r="AV509">
        <v>32</v>
      </c>
      <c r="AW509">
        <v>1</v>
      </c>
      <c r="AX509" t="s">
        <v>74</v>
      </c>
      <c r="AY509" t="s">
        <v>74</v>
      </c>
      <c r="AZ509" t="s">
        <v>74</v>
      </c>
      <c r="BA509" t="s">
        <v>74</v>
      </c>
      <c r="BB509">
        <v>57</v>
      </c>
      <c r="BC509">
        <v>60</v>
      </c>
      <c r="BD509" t="s">
        <v>74</v>
      </c>
      <c r="BE509" t="s">
        <v>7439</v>
      </c>
      <c r="BF509" t="str">
        <f>HYPERLINK("http://dx.doi.org/10.1130/G20005.1","http://dx.doi.org/10.1130/G20005.1")</f>
        <v>http://dx.doi.org/10.1130/G20005.1</v>
      </c>
      <c r="BG509" t="s">
        <v>74</v>
      </c>
      <c r="BH509" t="s">
        <v>74</v>
      </c>
      <c r="BI509">
        <v>4</v>
      </c>
      <c r="BJ509" t="s">
        <v>561</v>
      </c>
      <c r="BK509" t="s">
        <v>96</v>
      </c>
      <c r="BL509" t="s">
        <v>561</v>
      </c>
      <c r="BM509" t="s">
        <v>7425</v>
      </c>
      <c r="BN509" t="s">
        <v>74</v>
      </c>
      <c r="BO509" t="s">
        <v>74</v>
      </c>
      <c r="BP509" t="s">
        <v>74</v>
      </c>
      <c r="BQ509" t="s">
        <v>74</v>
      </c>
      <c r="BR509" t="s">
        <v>99</v>
      </c>
      <c r="BS509" t="s">
        <v>7440</v>
      </c>
      <c r="BT509" t="str">
        <f>HYPERLINK("https%3A%2F%2Fwww.webofscience.com%2Fwos%2Fwoscc%2Ffull-record%2FWOS:000188253800015","View Full Record in Web of Science")</f>
        <v>View Full Record in Web of Science</v>
      </c>
    </row>
    <row r="510" spans="1:72" x14ac:dyDescent="0.15">
      <c r="A510" t="s">
        <v>72</v>
      </c>
      <c r="B510" t="s">
        <v>7441</v>
      </c>
      <c r="C510" t="s">
        <v>74</v>
      </c>
      <c r="D510" t="s">
        <v>74</v>
      </c>
      <c r="E510" t="s">
        <v>74</v>
      </c>
      <c r="F510" t="s">
        <v>7441</v>
      </c>
      <c r="G510" t="s">
        <v>74</v>
      </c>
      <c r="H510" t="s">
        <v>74</v>
      </c>
      <c r="I510" t="s">
        <v>7442</v>
      </c>
      <c r="J510" t="s">
        <v>7443</v>
      </c>
      <c r="K510" t="s">
        <v>74</v>
      </c>
      <c r="L510" t="s">
        <v>74</v>
      </c>
      <c r="M510" t="s">
        <v>77</v>
      </c>
      <c r="N510" t="s">
        <v>78</v>
      </c>
      <c r="O510" t="s">
        <v>74</v>
      </c>
      <c r="P510" t="s">
        <v>74</v>
      </c>
      <c r="Q510" t="s">
        <v>74</v>
      </c>
      <c r="R510" t="s">
        <v>74</v>
      </c>
      <c r="S510" t="s">
        <v>74</v>
      </c>
      <c r="T510" t="s">
        <v>74</v>
      </c>
      <c r="U510" t="s">
        <v>7444</v>
      </c>
      <c r="V510" t="s">
        <v>7445</v>
      </c>
      <c r="W510" t="s">
        <v>7446</v>
      </c>
      <c r="X510" t="s">
        <v>74</v>
      </c>
      <c r="Y510" t="s">
        <v>7447</v>
      </c>
      <c r="Z510" t="s">
        <v>74</v>
      </c>
      <c r="AA510" t="s">
        <v>74</v>
      </c>
      <c r="AB510" t="s">
        <v>74</v>
      </c>
      <c r="AC510" t="s">
        <v>74</v>
      </c>
      <c r="AD510" t="s">
        <v>74</v>
      </c>
      <c r="AE510" t="s">
        <v>74</v>
      </c>
      <c r="AF510" t="s">
        <v>74</v>
      </c>
      <c r="AG510">
        <v>14</v>
      </c>
      <c r="AH510">
        <v>0</v>
      </c>
      <c r="AI510">
        <v>0</v>
      </c>
      <c r="AJ510">
        <v>0</v>
      </c>
      <c r="AK510">
        <v>0</v>
      </c>
      <c r="AL510" t="s">
        <v>1916</v>
      </c>
      <c r="AM510" t="s">
        <v>1917</v>
      </c>
      <c r="AN510" t="s">
        <v>1918</v>
      </c>
      <c r="AO510" t="s">
        <v>7448</v>
      </c>
      <c r="AP510" t="s">
        <v>74</v>
      </c>
      <c r="AQ510" t="s">
        <v>74</v>
      </c>
      <c r="AR510" t="s">
        <v>7449</v>
      </c>
      <c r="AS510" t="s">
        <v>7450</v>
      </c>
      <c r="AT510" t="s">
        <v>5979</v>
      </c>
      <c r="AU510">
        <v>2004</v>
      </c>
      <c r="AV510">
        <v>44</v>
      </c>
      <c r="AW510">
        <v>1</v>
      </c>
      <c r="AX510" t="s">
        <v>74</v>
      </c>
      <c r="AY510" t="s">
        <v>74</v>
      </c>
      <c r="AZ510" t="s">
        <v>74</v>
      </c>
      <c r="BA510" t="s">
        <v>74</v>
      </c>
      <c r="BB510">
        <v>82</v>
      </c>
      <c r="BC510">
        <v>86</v>
      </c>
      <c r="BD510" t="s">
        <v>74</v>
      </c>
      <c r="BE510" t="s">
        <v>74</v>
      </c>
      <c r="BF510" t="s">
        <v>74</v>
      </c>
      <c r="BG510" t="s">
        <v>74</v>
      </c>
      <c r="BH510" t="s">
        <v>74</v>
      </c>
      <c r="BI510">
        <v>5</v>
      </c>
      <c r="BJ510" t="s">
        <v>262</v>
      </c>
      <c r="BK510" t="s">
        <v>96</v>
      </c>
      <c r="BL510" t="s">
        <v>262</v>
      </c>
      <c r="BM510" t="s">
        <v>7451</v>
      </c>
      <c r="BN510" t="s">
        <v>74</v>
      </c>
      <c r="BO510" t="s">
        <v>74</v>
      </c>
      <c r="BP510" t="s">
        <v>74</v>
      </c>
      <c r="BQ510" t="s">
        <v>74</v>
      </c>
      <c r="BR510" t="s">
        <v>99</v>
      </c>
      <c r="BS510" t="s">
        <v>7452</v>
      </c>
      <c r="BT510" t="str">
        <f>HYPERLINK("https%3A%2F%2Fwww.webofscience.com%2Fwos%2Fwoscc%2Ffull-record%2FWOS:000189191500012","View Full Record in Web of Science")</f>
        <v>View Full Record in Web of Science</v>
      </c>
    </row>
    <row r="511" spans="1:72" x14ac:dyDescent="0.15">
      <c r="A511" t="s">
        <v>72</v>
      </c>
      <c r="B511" t="s">
        <v>7453</v>
      </c>
      <c r="C511" t="s">
        <v>74</v>
      </c>
      <c r="D511" t="s">
        <v>74</v>
      </c>
      <c r="E511" t="s">
        <v>74</v>
      </c>
      <c r="F511" t="s">
        <v>7453</v>
      </c>
      <c r="G511" t="s">
        <v>74</v>
      </c>
      <c r="H511" t="s">
        <v>74</v>
      </c>
      <c r="I511" t="s">
        <v>7454</v>
      </c>
      <c r="J511" t="s">
        <v>1386</v>
      </c>
      <c r="K511" t="s">
        <v>74</v>
      </c>
      <c r="L511" t="s">
        <v>74</v>
      </c>
      <c r="M511" t="s">
        <v>77</v>
      </c>
      <c r="N511" t="s">
        <v>311</v>
      </c>
      <c r="O511" t="s">
        <v>7455</v>
      </c>
      <c r="P511" t="s">
        <v>7456</v>
      </c>
      <c r="Q511" t="s">
        <v>7457</v>
      </c>
      <c r="R511" t="s">
        <v>74</v>
      </c>
      <c r="S511" t="s">
        <v>74</v>
      </c>
      <c r="T511" t="s">
        <v>7458</v>
      </c>
      <c r="U511" t="s">
        <v>7459</v>
      </c>
      <c r="V511" t="s">
        <v>7460</v>
      </c>
      <c r="W511" t="s">
        <v>7461</v>
      </c>
      <c r="X511" t="s">
        <v>7462</v>
      </c>
      <c r="Y511" t="s">
        <v>7463</v>
      </c>
      <c r="Z511" t="s">
        <v>2770</v>
      </c>
      <c r="AA511" t="s">
        <v>74</v>
      </c>
      <c r="AB511" t="s">
        <v>74</v>
      </c>
      <c r="AC511" t="s">
        <v>74</v>
      </c>
      <c r="AD511" t="s">
        <v>74</v>
      </c>
      <c r="AE511" t="s">
        <v>74</v>
      </c>
      <c r="AF511" t="s">
        <v>74</v>
      </c>
      <c r="AG511">
        <v>21</v>
      </c>
      <c r="AH511">
        <v>35</v>
      </c>
      <c r="AI511">
        <v>39</v>
      </c>
      <c r="AJ511">
        <v>1</v>
      </c>
      <c r="AK511">
        <v>16</v>
      </c>
      <c r="AL511" t="s">
        <v>685</v>
      </c>
      <c r="AM511" t="s">
        <v>529</v>
      </c>
      <c r="AN511" t="s">
        <v>686</v>
      </c>
      <c r="AO511" t="s">
        <v>1396</v>
      </c>
      <c r="AP511" t="s">
        <v>3001</v>
      </c>
      <c r="AQ511" t="s">
        <v>74</v>
      </c>
      <c r="AR511" t="s">
        <v>1397</v>
      </c>
      <c r="AS511" t="s">
        <v>1398</v>
      </c>
      <c r="AT511" t="s">
        <v>4117</v>
      </c>
      <c r="AU511">
        <v>2004</v>
      </c>
      <c r="AV511">
        <v>40</v>
      </c>
      <c r="AW511" t="s">
        <v>536</v>
      </c>
      <c r="AX511" t="s">
        <v>74</v>
      </c>
      <c r="AY511" t="s">
        <v>74</v>
      </c>
      <c r="AZ511" t="s">
        <v>74</v>
      </c>
      <c r="BA511" t="s">
        <v>74</v>
      </c>
      <c r="BB511">
        <v>159</v>
      </c>
      <c r="BC511">
        <v>167</v>
      </c>
      <c r="BD511" t="s">
        <v>74</v>
      </c>
      <c r="BE511" t="s">
        <v>7464</v>
      </c>
      <c r="BF511" t="str">
        <f>HYPERLINK("http://dx.doi.org/10.1016/S0921-8181(03)00106-1","http://dx.doi.org/10.1016/S0921-8181(03)00106-1")</f>
        <v>http://dx.doi.org/10.1016/S0921-8181(03)00106-1</v>
      </c>
      <c r="BG511" t="s">
        <v>74</v>
      </c>
      <c r="BH511" t="s">
        <v>74</v>
      </c>
      <c r="BI511">
        <v>9</v>
      </c>
      <c r="BJ511" t="s">
        <v>1400</v>
      </c>
      <c r="BK511" t="s">
        <v>332</v>
      </c>
      <c r="BL511" t="s">
        <v>1401</v>
      </c>
      <c r="BM511" t="s">
        <v>7465</v>
      </c>
      <c r="BN511" t="s">
        <v>74</v>
      </c>
      <c r="BO511" t="s">
        <v>479</v>
      </c>
      <c r="BP511" t="s">
        <v>74</v>
      </c>
      <c r="BQ511" t="s">
        <v>74</v>
      </c>
      <c r="BR511" t="s">
        <v>99</v>
      </c>
      <c r="BS511" t="s">
        <v>7466</v>
      </c>
      <c r="BT511" t="str">
        <f>HYPERLINK("https%3A%2F%2Fwww.webofscience.com%2Fwos%2Fwoscc%2Ffull-record%2FWOS:000187804500014","View Full Record in Web of Science")</f>
        <v>View Full Record in Web of Science</v>
      </c>
    </row>
    <row r="512" spans="1:72" x14ac:dyDescent="0.15">
      <c r="A512" t="s">
        <v>72</v>
      </c>
      <c r="B512" t="s">
        <v>7467</v>
      </c>
      <c r="C512" t="s">
        <v>74</v>
      </c>
      <c r="D512" t="s">
        <v>74</v>
      </c>
      <c r="E512" t="s">
        <v>74</v>
      </c>
      <c r="F512" t="s">
        <v>7467</v>
      </c>
      <c r="G512" t="s">
        <v>74</v>
      </c>
      <c r="H512" t="s">
        <v>74</v>
      </c>
      <c r="I512" t="s">
        <v>7468</v>
      </c>
      <c r="J512" t="s">
        <v>7469</v>
      </c>
      <c r="K512" t="s">
        <v>74</v>
      </c>
      <c r="L512" t="s">
        <v>74</v>
      </c>
      <c r="M512" t="s">
        <v>77</v>
      </c>
      <c r="N512" t="s">
        <v>311</v>
      </c>
      <c r="O512" t="s">
        <v>7470</v>
      </c>
      <c r="P512" t="s">
        <v>7471</v>
      </c>
      <c r="Q512" t="s">
        <v>7472</v>
      </c>
      <c r="R512" t="s">
        <v>74</v>
      </c>
      <c r="S512" t="s">
        <v>7473</v>
      </c>
      <c r="T512" t="s">
        <v>7474</v>
      </c>
      <c r="U512" t="s">
        <v>7475</v>
      </c>
      <c r="V512" t="s">
        <v>7476</v>
      </c>
      <c r="W512" t="s">
        <v>7477</v>
      </c>
      <c r="X512" t="s">
        <v>7478</v>
      </c>
      <c r="Y512" t="s">
        <v>7479</v>
      </c>
      <c r="Z512" t="s">
        <v>7480</v>
      </c>
      <c r="AA512" t="s">
        <v>7481</v>
      </c>
      <c r="AB512" t="s">
        <v>7482</v>
      </c>
      <c r="AC512" t="s">
        <v>74</v>
      </c>
      <c r="AD512" t="s">
        <v>74</v>
      </c>
      <c r="AE512" t="s">
        <v>74</v>
      </c>
      <c r="AF512" t="s">
        <v>74</v>
      </c>
      <c r="AG512">
        <v>34</v>
      </c>
      <c r="AH512">
        <v>20</v>
      </c>
      <c r="AI512">
        <v>20</v>
      </c>
      <c r="AJ512">
        <v>0</v>
      </c>
      <c r="AK512">
        <v>5</v>
      </c>
      <c r="AL512" t="s">
        <v>685</v>
      </c>
      <c r="AM512" t="s">
        <v>529</v>
      </c>
      <c r="AN512" t="s">
        <v>686</v>
      </c>
      <c r="AO512" t="s">
        <v>7483</v>
      </c>
      <c r="AP512" t="s">
        <v>7484</v>
      </c>
      <c r="AQ512" t="s">
        <v>74</v>
      </c>
      <c r="AR512" t="s">
        <v>7485</v>
      </c>
      <c r="AS512" t="s">
        <v>7486</v>
      </c>
      <c r="AT512" t="s">
        <v>4117</v>
      </c>
      <c r="AU512">
        <v>2004</v>
      </c>
      <c r="AV512">
        <v>7</v>
      </c>
      <c r="AW512">
        <v>1</v>
      </c>
      <c r="AX512" t="s">
        <v>74</v>
      </c>
      <c r="AY512" t="s">
        <v>74</v>
      </c>
      <c r="AZ512" t="s">
        <v>74</v>
      </c>
      <c r="BA512" t="s">
        <v>74</v>
      </c>
      <c r="BB512">
        <v>21</v>
      </c>
      <c r="BC512">
        <v>30</v>
      </c>
      <c r="BD512" t="s">
        <v>74</v>
      </c>
      <c r="BE512" t="s">
        <v>7487</v>
      </c>
      <c r="BF512" t="str">
        <f>HYPERLINK("http://dx.doi.org/10.1016/S1342-937X(05)70303-8","http://dx.doi.org/10.1016/S1342-937X(05)70303-8")</f>
        <v>http://dx.doi.org/10.1016/S1342-937X(05)70303-8</v>
      </c>
      <c r="BG512" t="s">
        <v>74</v>
      </c>
      <c r="BH512" t="s">
        <v>74</v>
      </c>
      <c r="BI512">
        <v>10</v>
      </c>
      <c r="BJ512" t="s">
        <v>560</v>
      </c>
      <c r="BK512" t="s">
        <v>332</v>
      </c>
      <c r="BL512" t="s">
        <v>561</v>
      </c>
      <c r="BM512" t="s">
        <v>7488</v>
      </c>
      <c r="BN512" t="s">
        <v>74</v>
      </c>
      <c r="BO512" t="s">
        <v>7489</v>
      </c>
      <c r="BP512" t="s">
        <v>74</v>
      </c>
      <c r="BQ512" t="s">
        <v>74</v>
      </c>
      <c r="BR512" t="s">
        <v>99</v>
      </c>
      <c r="BS512" t="s">
        <v>7490</v>
      </c>
      <c r="BT512" t="str">
        <f>HYPERLINK("https%3A%2F%2Fwww.webofscience.com%2Fwos%2Fwoscc%2Ffull-record%2FWOS:000187851700003","View Full Record in Web of Science")</f>
        <v>View Full Record in Web of Science</v>
      </c>
    </row>
    <row r="513" spans="1:72" x14ac:dyDescent="0.15">
      <c r="A513" t="s">
        <v>72</v>
      </c>
      <c r="B513" t="s">
        <v>7491</v>
      </c>
      <c r="C513" t="s">
        <v>74</v>
      </c>
      <c r="D513" t="s">
        <v>74</v>
      </c>
      <c r="E513" t="s">
        <v>74</v>
      </c>
      <c r="F513" t="s">
        <v>7491</v>
      </c>
      <c r="G513" t="s">
        <v>74</v>
      </c>
      <c r="H513" t="s">
        <v>74</v>
      </c>
      <c r="I513" t="s">
        <v>7492</v>
      </c>
      <c r="J513" t="s">
        <v>7469</v>
      </c>
      <c r="K513" t="s">
        <v>74</v>
      </c>
      <c r="L513" t="s">
        <v>74</v>
      </c>
      <c r="M513" t="s">
        <v>77</v>
      </c>
      <c r="N513" t="s">
        <v>311</v>
      </c>
      <c r="O513" t="s">
        <v>7493</v>
      </c>
      <c r="P513" t="s">
        <v>7471</v>
      </c>
      <c r="Q513" t="s">
        <v>7472</v>
      </c>
      <c r="R513" t="s">
        <v>74</v>
      </c>
      <c r="S513" t="s">
        <v>7473</v>
      </c>
      <c r="T513" t="s">
        <v>7494</v>
      </c>
      <c r="U513" t="s">
        <v>7495</v>
      </c>
      <c r="V513" t="s">
        <v>7496</v>
      </c>
      <c r="W513" t="s">
        <v>7497</v>
      </c>
      <c r="X513" t="s">
        <v>7498</v>
      </c>
      <c r="Y513" t="s">
        <v>7499</v>
      </c>
      <c r="Z513" t="s">
        <v>74</v>
      </c>
      <c r="AA513" t="s">
        <v>7500</v>
      </c>
      <c r="AB513" t="s">
        <v>7501</v>
      </c>
      <c r="AC513" t="s">
        <v>74</v>
      </c>
      <c r="AD513" t="s">
        <v>74</v>
      </c>
      <c r="AE513" t="s">
        <v>74</v>
      </c>
      <c r="AF513" t="s">
        <v>74</v>
      </c>
      <c r="AG513">
        <v>62</v>
      </c>
      <c r="AH513">
        <v>9</v>
      </c>
      <c r="AI513">
        <v>9</v>
      </c>
      <c r="AJ513">
        <v>0</v>
      </c>
      <c r="AK513">
        <v>5</v>
      </c>
      <c r="AL513" t="s">
        <v>7502</v>
      </c>
      <c r="AM513" t="s">
        <v>7503</v>
      </c>
      <c r="AN513" t="s">
        <v>7504</v>
      </c>
      <c r="AO513" t="s">
        <v>7483</v>
      </c>
      <c r="AP513" t="s">
        <v>74</v>
      </c>
      <c r="AQ513" t="s">
        <v>74</v>
      </c>
      <c r="AR513" t="s">
        <v>7485</v>
      </c>
      <c r="AS513" t="s">
        <v>7486</v>
      </c>
      <c r="AT513" t="s">
        <v>4117</v>
      </c>
      <c r="AU513">
        <v>2004</v>
      </c>
      <c r="AV513">
        <v>7</v>
      </c>
      <c r="AW513">
        <v>1</v>
      </c>
      <c r="AX513" t="s">
        <v>74</v>
      </c>
      <c r="AY513" t="s">
        <v>74</v>
      </c>
      <c r="AZ513" t="s">
        <v>74</v>
      </c>
      <c r="BA513" t="s">
        <v>74</v>
      </c>
      <c r="BB513">
        <v>31</v>
      </c>
      <c r="BC513">
        <v>41</v>
      </c>
      <c r="BD513" t="s">
        <v>74</v>
      </c>
      <c r="BE513" t="s">
        <v>7505</v>
      </c>
      <c r="BF513" t="str">
        <f>HYPERLINK("http://dx.doi.org/10.1016/S1342-937X(05)70304-X","http://dx.doi.org/10.1016/S1342-937X(05)70304-X")</f>
        <v>http://dx.doi.org/10.1016/S1342-937X(05)70304-X</v>
      </c>
      <c r="BG513" t="s">
        <v>74</v>
      </c>
      <c r="BH513" t="s">
        <v>74</v>
      </c>
      <c r="BI513">
        <v>11</v>
      </c>
      <c r="BJ513" t="s">
        <v>560</v>
      </c>
      <c r="BK513" t="s">
        <v>1116</v>
      </c>
      <c r="BL513" t="s">
        <v>561</v>
      </c>
      <c r="BM513" t="s">
        <v>7488</v>
      </c>
      <c r="BN513" t="s">
        <v>74</v>
      </c>
      <c r="BO513" t="s">
        <v>74</v>
      </c>
      <c r="BP513" t="s">
        <v>74</v>
      </c>
      <c r="BQ513" t="s">
        <v>74</v>
      </c>
      <c r="BR513" t="s">
        <v>99</v>
      </c>
      <c r="BS513" t="s">
        <v>7506</v>
      </c>
      <c r="BT513" t="str">
        <f>HYPERLINK("https%3A%2F%2Fwww.webofscience.com%2Fwos%2Fwoscc%2Ffull-record%2FWOS:000187851700004","View Full Record in Web of Science")</f>
        <v>View Full Record in Web of Science</v>
      </c>
    </row>
    <row r="514" spans="1:72" x14ac:dyDescent="0.15">
      <c r="A514" t="s">
        <v>72</v>
      </c>
      <c r="B514" t="s">
        <v>7507</v>
      </c>
      <c r="C514" t="s">
        <v>74</v>
      </c>
      <c r="D514" t="s">
        <v>74</v>
      </c>
      <c r="E514" t="s">
        <v>74</v>
      </c>
      <c r="F514" t="s">
        <v>7507</v>
      </c>
      <c r="G514" t="s">
        <v>74</v>
      </c>
      <c r="H514" t="s">
        <v>74</v>
      </c>
      <c r="I514" t="s">
        <v>7508</v>
      </c>
      <c r="J514" t="s">
        <v>7469</v>
      </c>
      <c r="K514" t="s">
        <v>74</v>
      </c>
      <c r="L514" t="s">
        <v>74</v>
      </c>
      <c r="M514" t="s">
        <v>77</v>
      </c>
      <c r="N514" t="s">
        <v>311</v>
      </c>
      <c r="O514" t="s">
        <v>7470</v>
      </c>
      <c r="P514" t="s">
        <v>7471</v>
      </c>
      <c r="Q514" t="s">
        <v>7472</v>
      </c>
      <c r="R514" t="s">
        <v>74</v>
      </c>
      <c r="S514" t="s">
        <v>7473</v>
      </c>
      <c r="T514" t="s">
        <v>7509</v>
      </c>
      <c r="U514" t="s">
        <v>7510</v>
      </c>
      <c r="V514" t="s">
        <v>7511</v>
      </c>
      <c r="W514" t="s">
        <v>7512</v>
      </c>
      <c r="X514" t="s">
        <v>7513</v>
      </c>
      <c r="Y514" t="s">
        <v>7514</v>
      </c>
      <c r="Z514" t="s">
        <v>7515</v>
      </c>
      <c r="AA514" t="s">
        <v>74</v>
      </c>
      <c r="AB514" t="s">
        <v>7516</v>
      </c>
      <c r="AC514" t="s">
        <v>74</v>
      </c>
      <c r="AD514" t="s">
        <v>74</v>
      </c>
      <c r="AE514" t="s">
        <v>74</v>
      </c>
      <c r="AF514" t="s">
        <v>74</v>
      </c>
      <c r="AG514">
        <v>96</v>
      </c>
      <c r="AH514">
        <v>113</v>
      </c>
      <c r="AI514">
        <v>126</v>
      </c>
      <c r="AJ514">
        <v>1</v>
      </c>
      <c r="AK514">
        <v>9</v>
      </c>
      <c r="AL514" t="s">
        <v>685</v>
      </c>
      <c r="AM514" t="s">
        <v>529</v>
      </c>
      <c r="AN514" t="s">
        <v>686</v>
      </c>
      <c r="AO514" t="s">
        <v>7483</v>
      </c>
      <c r="AP514" t="s">
        <v>7484</v>
      </c>
      <c r="AQ514" t="s">
        <v>74</v>
      </c>
      <c r="AR514" t="s">
        <v>7485</v>
      </c>
      <c r="AS514" t="s">
        <v>7486</v>
      </c>
      <c r="AT514" t="s">
        <v>4117</v>
      </c>
      <c r="AU514">
        <v>2004</v>
      </c>
      <c r="AV514">
        <v>7</v>
      </c>
      <c r="AW514">
        <v>1</v>
      </c>
      <c r="AX514" t="s">
        <v>74</v>
      </c>
      <c r="AY514" t="s">
        <v>74</v>
      </c>
      <c r="AZ514" t="s">
        <v>74</v>
      </c>
      <c r="BA514" t="s">
        <v>74</v>
      </c>
      <c r="BB514">
        <v>223</v>
      </c>
      <c r="BC514">
        <v>237</v>
      </c>
      <c r="BD514" t="s">
        <v>74</v>
      </c>
      <c r="BE514" t="s">
        <v>7517</v>
      </c>
      <c r="BF514" t="str">
        <f>HYPERLINK("http://dx.doi.org/10.1016/S1342-937X(05)70322-1","http://dx.doi.org/10.1016/S1342-937X(05)70322-1")</f>
        <v>http://dx.doi.org/10.1016/S1342-937X(05)70322-1</v>
      </c>
      <c r="BG514" t="s">
        <v>74</v>
      </c>
      <c r="BH514" t="s">
        <v>74</v>
      </c>
      <c r="BI514">
        <v>15</v>
      </c>
      <c r="BJ514" t="s">
        <v>560</v>
      </c>
      <c r="BK514" t="s">
        <v>332</v>
      </c>
      <c r="BL514" t="s">
        <v>561</v>
      </c>
      <c r="BM514" t="s">
        <v>7488</v>
      </c>
      <c r="BN514" t="s">
        <v>74</v>
      </c>
      <c r="BO514" t="s">
        <v>74</v>
      </c>
      <c r="BP514" t="s">
        <v>74</v>
      </c>
      <c r="BQ514" t="s">
        <v>74</v>
      </c>
      <c r="BR514" t="s">
        <v>99</v>
      </c>
      <c r="BS514" t="s">
        <v>7518</v>
      </c>
      <c r="BT514" t="str">
        <f>HYPERLINK("https%3A%2F%2Fwww.webofscience.com%2Fwos%2Fwoscc%2Ffull-record%2FWOS:000187851700022","View Full Record in Web of Science")</f>
        <v>View Full Record in Web of Science</v>
      </c>
    </row>
    <row r="515" spans="1:72" x14ac:dyDescent="0.15">
      <c r="A515" t="s">
        <v>72</v>
      </c>
      <c r="B515" t="s">
        <v>7519</v>
      </c>
      <c r="C515" t="s">
        <v>74</v>
      </c>
      <c r="D515" t="s">
        <v>74</v>
      </c>
      <c r="E515" t="s">
        <v>74</v>
      </c>
      <c r="F515" t="s">
        <v>7519</v>
      </c>
      <c r="G515" t="s">
        <v>74</v>
      </c>
      <c r="H515" t="s">
        <v>74</v>
      </c>
      <c r="I515" t="s">
        <v>7520</v>
      </c>
      <c r="J515" t="s">
        <v>7469</v>
      </c>
      <c r="K515" t="s">
        <v>74</v>
      </c>
      <c r="L515" t="s">
        <v>74</v>
      </c>
      <c r="M515" t="s">
        <v>77</v>
      </c>
      <c r="N515" t="s">
        <v>311</v>
      </c>
      <c r="O515" t="s">
        <v>7470</v>
      </c>
      <c r="P515" t="s">
        <v>7471</v>
      </c>
      <c r="Q515" t="s">
        <v>7472</v>
      </c>
      <c r="R515" t="s">
        <v>74</v>
      </c>
      <c r="S515" t="s">
        <v>7473</v>
      </c>
      <c r="T515" t="s">
        <v>7521</v>
      </c>
      <c r="U515" t="s">
        <v>7522</v>
      </c>
      <c r="V515" t="s">
        <v>7523</v>
      </c>
      <c r="W515" t="s">
        <v>81</v>
      </c>
      <c r="X515" t="s">
        <v>82</v>
      </c>
      <c r="Y515" t="s">
        <v>7524</v>
      </c>
      <c r="Z515" t="s">
        <v>7525</v>
      </c>
      <c r="AA515" t="s">
        <v>7526</v>
      </c>
      <c r="AB515" t="s">
        <v>74</v>
      </c>
      <c r="AC515" t="s">
        <v>74</v>
      </c>
      <c r="AD515" t="s">
        <v>74</v>
      </c>
      <c r="AE515" t="s">
        <v>74</v>
      </c>
      <c r="AF515" t="s">
        <v>74</v>
      </c>
      <c r="AG515">
        <v>15</v>
      </c>
      <c r="AH515">
        <v>4</v>
      </c>
      <c r="AI515">
        <v>5</v>
      </c>
      <c r="AJ515">
        <v>2</v>
      </c>
      <c r="AK515">
        <v>5</v>
      </c>
      <c r="AL515" t="s">
        <v>685</v>
      </c>
      <c r="AM515" t="s">
        <v>529</v>
      </c>
      <c r="AN515" t="s">
        <v>686</v>
      </c>
      <c r="AO515" t="s">
        <v>7483</v>
      </c>
      <c r="AP515" t="s">
        <v>7484</v>
      </c>
      <c r="AQ515" t="s">
        <v>74</v>
      </c>
      <c r="AR515" t="s">
        <v>7485</v>
      </c>
      <c r="AS515" t="s">
        <v>7486</v>
      </c>
      <c r="AT515" t="s">
        <v>4117</v>
      </c>
      <c r="AU515">
        <v>2004</v>
      </c>
      <c r="AV515">
        <v>7</v>
      </c>
      <c r="AW515">
        <v>1</v>
      </c>
      <c r="AX515" t="s">
        <v>74</v>
      </c>
      <c r="AY515" t="s">
        <v>74</v>
      </c>
      <c r="AZ515" t="s">
        <v>74</v>
      </c>
      <c r="BA515" t="s">
        <v>74</v>
      </c>
      <c r="BB515">
        <v>287</v>
      </c>
      <c r="BC515">
        <v>292</v>
      </c>
      <c r="BD515" t="s">
        <v>74</v>
      </c>
      <c r="BE515" t="s">
        <v>7527</v>
      </c>
      <c r="BF515" t="str">
        <f>HYPERLINK("http://dx.doi.org/10.1016/S1342-937X(05)70326-9","http://dx.doi.org/10.1016/S1342-937X(05)70326-9")</f>
        <v>http://dx.doi.org/10.1016/S1342-937X(05)70326-9</v>
      </c>
      <c r="BG515" t="s">
        <v>74</v>
      </c>
      <c r="BH515" t="s">
        <v>74</v>
      </c>
      <c r="BI515">
        <v>6</v>
      </c>
      <c r="BJ515" t="s">
        <v>560</v>
      </c>
      <c r="BK515" t="s">
        <v>332</v>
      </c>
      <c r="BL515" t="s">
        <v>561</v>
      </c>
      <c r="BM515" t="s">
        <v>7488</v>
      </c>
      <c r="BN515" t="s">
        <v>74</v>
      </c>
      <c r="BO515" t="s">
        <v>74</v>
      </c>
      <c r="BP515" t="s">
        <v>74</v>
      </c>
      <c r="BQ515" t="s">
        <v>74</v>
      </c>
      <c r="BR515" t="s">
        <v>99</v>
      </c>
      <c r="BS515" t="s">
        <v>7528</v>
      </c>
      <c r="BT515" t="str">
        <f>HYPERLINK("https%3A%2F%2Fwww.webofscience.com%2Fwos%2Fwoscc%2Ffull-record%2FWOS:000187851700026","View Full Record in Web of Science")</f>
        <v>View Full Record in Web of Science</v>
      </c>
    </row>
    <row r="516" spans="1:72" x14ac:dyDescent="0.15">
      <c r="A516" t="s">
        <v>3934</v>
      </c>
      <c r="B516" t="s">
        <v>7529</v>
      </c>
      <c r="C516" t="s">
        <v>74</v>
      </c>
      <c r="D516" t="s">
        <v>7530</v>
      </c>
      <c r="E516" t="s">
        <v>74</v>
      </c>
      <c r="F516" t="s">
        <v>7529</v>
      </c>
      <c r="G516" t="s">
        <v>74</v>
      </c>
      <c r="H516" t="s">
        <v>74</v>
      </c>
      <c r="I516" t="s">
        <v>7531</v>
      </c>
      <c r="J516" t="s">
        <v>7532</v>
      </c>
      <c r="K516" t="s">
        <v>7533</v>
      </c>
      <c r="L516" t="s">
        <v>74</v>
      </c>
      <c r="M516" t="s">
        <v>77</v>
      </c>
      <c r="N516" t="s">
        <v>3940</v>
      </c>
      <c r="O516" t="s">
        <v>7534</v>
      </c>
      <c r="P516" t="s">
        <v>7535</v>
      </c>
      <c r="Q516" t="s">
        <v>7536</v>
      </c>
      <c r="R516" t="s">
        <v>74</v>
      </c>
      <c r="S516" t="s">
        <v>74</v>
      </c>
      <c r="T516" t="s">
        <v>7537</v>
      </c>
      <c r="U516" t="s">
        <v>74</v>
      </c>
      <c r="V516" t="s">
        <v>7538</v>
      </c>
      <c r="W516" t="s">
        <v>2238</v>
      </c>
      <c r="X516" t="s">
        <v>1562</v>
      </c>
      <c r="Y516" t="s">
        <v>7539</v>
      </c>
      <c r="Z516" t="s">
        <v>7540</v>
      </c>
      <c r="AA516" t="s">
        <v>74</v>
      </c>
      <c r="AB516" t="s">
        <v>7541</v>
      </c>
      <c r="AC516" t="s">
        <v>74</v>
      </c>
      <c r="AD516" t="s">
        <v>74</v>
      </c>
      <c r="AE516" t="s">
        <v>74</v>
      </c>
      <c r="AF516" t="s">
        <v>74</v>
      </c>
      <c r="AG516">
        <v>13</v>
      </c>
      <c r="AH516">
        <v>3</v>
      </c>
      <c r="AI516">
        <v>3</v>
      </c>
      <c r="AJ516">
        <v>0</v>
      </c>
      <c r="AK516">
        <v>0</v>
      </c>
      <c r="AL516" t="s">
        <v>7542</v>
      </c>
      <c r="AM516" t="s">
        <v>7543</v>
      </c>
      <c r="AN516" t="s">
        <v>7544</v>
      </c>
      <c r="AO516" t="s">
        <v>7545</v>
      </c>
      <c r="AP516" t="s">
        <v>7546</v>
      </c>
      <c r="AQ516" t="s">
        <v>7547</v>
      </c>
      <c r="AR516" t="s">
        <v>7548</v>
      </c>
      <c r="AS516" t="s">
        <v>74</v>
      </c>
      <c r="AT516" t="s">
        <v>74</v>
      </c>
      <c r="AU516">
        <v>2004</v>
      </c>
      <c r="AV516">
        <v>5492</v>
      </c>
      <c r="AW516" t="s">
        <v>74</v>
      </c>
      <c r="AX516" t="s">
        <v>3766</v>
      </c>
      <c r="AY516" t="s">
        <v>74</v>
      </c>
      <c r="AZ516" t="s">
        <v>74</v>
      </c>
      <c r="BA516" t="s">
        <v>74</v>
      </c>
      <c r="BB516">
        <v>811</v>
      </c>
      <c r="BC516">
        <v>821</v>
      </c>
      <c r="BD516" t="s">
        <v>74</v>
      </c>
      <c r="BE516" t="s">
        <v>7549</v>
      </c>
      <c r="BF516" t="str">
        <f>HYPERLINK("http://dx.doi.org/10.1117/12.552354","http://dx.doi.org/10.1117/12.552354")</f>
        <v>http://dx.doi.org/10.1117/12.552354</v>
      </c>
      <c r="BG516" t="s">
        <v>74</v>
      </c>
      <c r="BH516" t="s">
        <v>74</v>
      </c>
      <c r="BI516">
        <v>11</v>
      </c>
      <c r="BJ516" t="s">
        <v>7550</v>
      </c>
      <c r="BK516" t="s">
        <v>3955</v>
      </c>
      <c r="BL516" t="s">
        <v>7551</v>
      </c>
      <c r="BM516" t="s">
        <v>7552</v>
      </c>
      <c r="BN516" t="s">
        <v>74</v>
      </c>
      <c r="BO516" t="s">
        <v>156</v>
      </c>
      <c r="BP516" t="s">
        <v>74</v>
      </c>
      <c r="BQ516" t="s">
        <v>74</v>
      </c>
      <c r="BR516" t="s">
        <v>99</v>
      </c>
      <c r="BS516" t="s">
        <v>7553</v>
      </c>
      <c r="BT516" t="str">
        <f>HYPERLINK("https%3A%2F%2Fwww.webofscience.com%2Fwos%2Fwoscc%2Ffull-record%2FWOS:000224718600080","View Full Record in Web of Science")</f>
        <v>View Full Record in Web of Science</v>
      </c>
    </row>
    <row r="517" spans="1:72" x14ac:dyDescent="0.15">
      <c r="A517" t="s">
        <v>3934</v>
      </c>
      <c r="B517" t="s">
        <v>7554</v>
      </c>
      <c r="C517" t="s">
        <v>74</v>
      </c>
      <c r="D517" t="s">
        <v>7555</v>
      </c>
      <c r="E517" t="s">
        <v>74</v>
      </c>
      <c r="F517" t="s">
        <v>7554</v>
      </c>
      <c r="G517" t="s">
        <v>74</v>
      </c>
      <c r="H517" t="s">
        <v>74</v>
      </c>
      <c r="I517" t="s">
        <v>7556</v>
      </c>
      <c r="J517" t="s">
        <v>7557</v>
      </c>
      <c r="K517" t="s">
        <v>7533</v>
      </c>
      <c r="L517" t="s">
        <v>74</v>
      </c>
      <c r="M517" t="s">
        <v>77</v>
      </c>
      <c r="N517" t="s">
        <v>3940</v>
      </c>
      <c r="O517" t="s">
        <v>7558</v>
      </c>
      <c r="P517" t="s">
        <v>7535</v>
      </c>
      <c r="Q517" t="s">
        <v>7536</v>
      </c>
      <c r="R517" t="s">
        <v>74</v>
      </c>
      <c r="S517" t="s">
        <v>74</v>
      </c>
      <c r="T517" t="s">
        <v>7559</v>
      </c>
      <c r="U517" t="s">
        <v>7560</v>
      </c>
      <c r="V517" t="s">
        <v>7561</v>
      </c>
      <c r="W517" t="s">
        <v>2238</v>
      </c>
      <c r="X517" t="s">
        <v>1562</v>
      </c>
      <c r="Y517" t="s">
        <v>7539</v>
      </c>
      <c r="Z517" t="s">
        <v>7562</v>
      </c>
      <c r="AA517" t="s">
        <v>7563</v>
      </c>
      <c r="AB517" t="s">
        <v>7564</v>
      </c>
      <c r="AC517" t="s">
        <v>74</v>
      </c>
      <c r="AD517" t="s">
        <v>74</v>
      </c>
      <c r="AE517" t="s">
        <v>74</v>
      </c>
      <c r="AF517" t="s">
        <v>74</v>
      </c>
      <c r="AG517">
        <v>15</v>
      </c>
      <c r="AH517">
        <v>10</v>
      </c>
      <c r="AI517">
        <v>10</v>
      </c>
      <c r="AJ517">
        <v>0</v>
      </c>
      <c r="AK517">
        <v>1</v>
      </c>
      <c r="AL517" t="s">
        <v>7542</v>
      </c>
      <c r="AM517" t="s">
        <v>7543</v>
      </c>
      <c r="AN517" t="s">
        <v>7544</v>
      </c>
      <c r="AO517" t="s">
        <v>7545</v>
      </c>
      <c r="AP517" t="s">
        <v>7546</v>
      </c>
      <c r="AQ517" t="s">
        <v>7565</v>
      </c>
      <c r="AR517" t="s">
        <v>7548</v>
      </c>
      <c r="AS517" t="s">
        <v>74</v>
      </c>
      <c r="AT517" t="s">
        <v>74</v>
      </c>
      <c r="AU517">
        <v>2004</v>
      </c>
      <c r="AV517">
        <v>5489</v>
      </c>
      <c r="AW517" t="s">
        <v>74</v>
      </c>
      <c r="AX517" t="s">
        <v>536</v>
      </c>
      <c r="AY517" t="s">
        <v>74</v>
      </c>
      <c r="AZ517" t="s">
        <v>74</v>
      </c>
      <c r="BA517" t="s">
        <v>74</v>
      </c>
      <c r="BB517">
        <v>174</v>
      </c>
      <c r="BC517">
        <v>179</v>
      </c>
      <c r="BD517" t="s">
        <v>74</v>
      </c>
      <c r="BE517" t="s">
        <v>7566</v>
      </c>
      <c r="BF517" t="str">
        <f>HYPERLINK("http://dx.doi.org/10.1117/12.551017","http://dx.doi.org/10.1117/12.551017")</f>
        <v>http://dx.doi.org/10.1117/12.551017</v>
      </c>
      <c r="BG517" t="s">
        <v>74</v>
      </c>
      <c r="BH517" t="s">
        <v>74</v>
      </c>
      <c r="BI517">
        <v>6</v>
      </c>
      <c r="BJ517" t="s">
        <v>7567</v>
      </c>
      <c r="BK517" t="s">
        <v>3955</v>
      </c>
      <c r="BL517" t="s">
        <v>7567</v>
      </c>
      <c r="BM517" t="s">
        <v>7568</v>
      </c>
      <c r="BN517" t="s">
        <v>74</v>
      </c>
      <c r="BO517" t="s">
        <v>7489</v>
      </c>
      <c r="BP517" t="s">
        <v>74</v>
      </c>
      <c r="BQ517" t="s">
        <v>74</v>
      </c>
      <c r="BR517" t="s">
        <v>99</v>
      </c>
      <c r="BS517" t="s">
        <v>7569</v>
      </c>
      <c r="BT517" t="str">
        <f>HYPERLINK("https%3A%2F%2Fwww.webofscience.com%2Fwos%2Fwoscc%2Ffull-record%2FWOS:000224524300018","View Full Record in Web of Science")</f>
        <v>View Full Record in Web of Science</v>
      </c>
    </row>
    <row r="518" spans="1:72" x14ac:dyDescent="0.15">
      <c r="A518" t="s">
        <v>3934</v>
      </c>
      <c r="B518" t="s">
        <v>7570</v>
      </c>
      <c r="C518" t="s">
        <v>74</v>
      </c>
      <c r="D518" t="s">
        <v>7555</v>
      </c>
      <c r="E518" t="s">
        <v>74</v>
      </c>
      <c r="F518" t="s">
        <v>7570</v>
      </c>
      <c r="G518" t="s">
        <v>74</v>
      </c>
      <c r="H518" t="s">
        <v>74</v>
      </c>
      <c r="I518" t="s">
        <v>7571</v>
      </c>
      <c r="J518" t="s">
        <v>7557</v>
      </c>
      <c r="K518" t="s">
        <v>7572</v>
      </c>
      <c r="L518" t="s">
        <v>74</v>
      </c>
      <c r="M518" t="s">
        <v>77</v>
      </c>
      <c r="N518" t="s">
        <v>3940</v>
      </c>
      <c r="O518" t="s">
        <v>7558</v>
      </c>
      <c r="P518" t="s">
        <v>7535</v>
      </c>
      <c r="Q518" t="s">
        <v>7536</v>
      </c>
      <c r="R518" t="s">
        <v>74</v>
      </c>
      <c r="S518" t="s">
        <v>74</v>
      </c>
      <c r="T518" t="s">
        <v>7573</v>
      </c>
      <c r="U518" t="s">
        <v>74</v>
      </c>
      <c r="V518" t="s">
        <v>7574</v>
      </c>
      <c r="W518" t="s">
        <v>7575</v>
      </c>
      <c r="X518" t="s">
        <v>74</v>
      </c>
      <c r="Y518" t="s">
        <v>7576</v>
      </c>
      <c r="Z518" t="s">
        <v>74</v>
      </c>
      <c r="AA518" t="s">
        <v>74</v>
      </c>
      <c r="AB518" t="s">
        <v>74</v>
      </c>
      <c r="AC518" t="s">
        <v>74</v>
      </c>
      <c r="AD518" t="s">
        <v>74</v>
      </c>
      <c r="AE518" t="s">
        <v>74</v>
      </c>
      <c r="AF518" t="s">
        <v>74</v>
      </c>
      <c r="AG518">
        <v>6</v>
      </c>
      <c r="AH518">
        <v>9</v>
      </c>
      <c r="AI518">
        <v>9</v>
      </c>
      <c r="AJ518">
        <v>0</v>
      </c>
      <c r="AK518">
        <v>0</v>
      </c>
      <c r="AL518" t="s">
        <v>7542</v>
      </c>
      <c r="AM518" t="s">
        <v>7543</v>
      </c>
      <c r="AN518" t="s">
        <v>7544</v>
      </c>
      <c r="AO518" t="s">
        <v>7545</v>
      </c>
      <c r="AP518" t="s">
        <v>74</v>
      </c>
      <c r="AQ518" t="s">
        <v>7565</v>
      </c>
      <c r="AR518" t="s">
        <v>7577</v>
      </c>
      <c r="AS518" t="s">
        <v>74</v>
      </c>
      <c r="AT518" t="s">
        <v>74</v>
      </c>
      <c r="AU518">
        <v>2004</v>
      </c>
      <c r="AV518">
        <v>5489</v>
      </c>
      <c r="AW518" t="s">
        <v>74</v>
      </c>
      <c r="AX518" t="s">
        <v>536</v>
      </c>
      <c r="AY518" t="s">
        <v>74</v>
      </c>
      <c r="AZ518" t="s">
        <v>74</v>
      </c>
      <c r="BA518" t="s">
        <v>74</v>
      </c>
      <c r="BB518">
        <v>462</v>
      </c>
      <c r="BC518">
        <v>469</v>
      </c>
      <c r="BD518" t="s">
        <v>74</v>
      </c>
      <c r="BE518" t="s">
        <v>7578</v>
      </c>
      <c r="BF518" t="str">
        <f>HYPERLINK("http://dx.doi.org/10.1117/12.550870","http://dx.doi.org/10.1117/12.550870")</f>
        <v>http://dx.doi.org/10.1117/12.550870</v>
      </c>
      <c r="BG518" t="s">
        <v>74</v>
      </c>
      <c r="BH518" t="s">
        <v>74</v>
      </c>
      <c r="BI518">
        <v>8</v>
      </c>
      <c r="BJ518" t="s">
        <v>7567</v>
      </c>
      <c r="BK518" t="s">
        <v>3955</v>
      </c>
      <c r="BL518" t="s">
        <v>7567</v>
      </c>
      <c r="BM518" t="s">
        <v>7568</v>
      </c>
      <c r="BN518" t="s">
        <v>74</v>
      </c>
      <c r="BO518" t="s">
        <v>74</v>
      </c>
      <c r="BP518" t="s">
        <v>74</v>
      </c>
      <c r="BQ518" t="s">
        <v>74</v>
      </c>
      <c r="BR518" t="s">
        <v>99</v>
      </c>
      <c r="BS518" t="s">
        <v>7579</v>
      </c>
      <c r="BT518" t="str">
        <f>HYPERLINK("https%3A%2F%2Fwww.webofscience.com%2Fwos%2Fwoscc%2Ffull-record%2FWOS:000224524300046","View Full Record in Web of Science")</f>
        <v>View Full Record in Web of Science</v>
      </c>
    </row>
    <row r="519" spans="1:72" x14ac:dyDescent="0.15">
      <c r="A519" t="s">
        <v>3934</v>
      </c>
      <c r="B519" t="s">
        <v>7580</v>
      </c>
      <c r="C519" t="s">
        <v>74</v>
      </c>
      <c r="D519" t="s">
        <v>7555</v>
      </c>
      <c r="E519" t="s">
        <v>74</v>
      </c>
      <c r="F519" t="s">
        <v>7580</v>
      </c>
      <c r="G519" t="s">
        <v>74</v>
      </c>
      <c r="H519" t="s">
        <v>74</v>
      </c>
      <c r="I519" t="s">
        <v>7581</v>
      </c>
      <c r="J519" t="s">
        <v>7557</v>
      </c>
      <c r="K519" t="s">
        <v>7572</v>
      </c>
      <c r="L519" t="s">
        <v>74</v>
      </c>
      <c r="M519" t="s">
        <v>77</v>
      </c>
      <c r="N519" t="s">
        <v>3940</v>
      </c>
      <c r="O519" t="s">
        <v>7558</v>
      </c>
      <c r="P519" t="s">
        <v>7535</v>
      </c>
      <c r="Q519" t="s">
        <v>7536</v>
      </c>
      <c r="R519" t="s">
        <v>74</v>
      </c>
      <c r="S519" t="s">
        <v>74</v>
      </c>
      <c r="T519" t="s">
        <v>7582</v>
      </c>
      <c r="U519" t="s">
        <v>74</v>
      </c>
      <c r="V519" t="s">
        <v>7583</v>
      </c>
      <c r="W519" t="s">
        <v>7584</v>
      </c>
      <c r="X519" t="s">
        <v>7585</v>
      </c>
      <c r="Y519" t="s">
        <v>7586</v>
      </c>
      <c r="Z519" t="s">
        <v>74</v>
      </c>
      <c r="AA519" t="s">
        <v>74</v>
      </c>
      <c r="AB519" t="s">
        <v>7587</v>
      </c>
      <c r="AC519" t="s">
        <v>74</v>
      </c>
      <c r="AD519" t="s">
        <v>74</v>
      </c>
      <c r="AE519" t="s">
        <v>74</v>
      </c>
      <c r="AF519" t="s">
        <v>74</v>
      </c>
      <c r="AG519">
        <v>4</v>
      </c>
      <c r="AH519">
        <v>11</v>
      </c>
      <c r="AI519">
        <v>11</v>
      </c>
      <c r="AJ519">
        <v>0</v>
      </c>
      <c r="AK519">
        <v>0</v>
      </c>
      <c r="AL519" t="s">
        <v>7542</v>
      </c>
      <c r="AM519" t="s">
        <v>7543</v>
      </c>
      <c r="AN519" t="s">
        <v>7544</v>
      </c>
      <c r="AO519" t="s">
        <v>7545</v>
      </c>
      <c r="AP519" t="s">
        <v>74</v>
      </c>
      <c r="AQ519" t="s">
        <v>7565</v>
      </c>
      <c r="AR519" t="s">
        <v>7577</v>
      </c>
      <c r="AS519" t="s">
        <v>74</v>
      </c>
      <c r="AT519" t="s">
        <v>74</v>
      </c>
      <c r="AU519">
        <v>2004</v>
      </c>
      <c r="AV519">
        <v>5489</v>
      </c>
      <c r="AW519" t="s">
        <v>74</v>
      </c>
      <c r="AX519" t="s">
        <v>536</v>
      </c>
      <c r="AY519" t="s">
        <v>74</v>
      </c>
      <c r="AZ519" t="s">
        <v>74</v>
      </c>
      <c r="BA519" t="s">
        <v>74</v>
      </c>
      <c r="BB519">
        <v>470</v>
      </c>
      <c r="BC519">
        <v>480</v>
      </c>
      <c r="BD519" t="s">
        <v>74</v>
      </c>
      <c r="BE519" t="s">
        <v>7588</v>
      </c>
      <c r="BF519" t="str">
        <f>HYPERLINK("http://dx.doi.org/10.1117/12.551424","http://dx.doi.org/10.1117/12.551424")</f>
        <v>http://dx.doi.org/10.1117/12.551424</v>
      </c>
      <c r="BG519" t="s">
        <v>74</v>
      </c>
      <c r="BH519" t="s">
        <v>74</v>
      </c>
      <c r="BI519">
        <v>11</v>
      </c>
      <c r="BJ519" t="s">
        <v>7567</v>
      </c>
      <c r="BK519" t="s">
        <v>3955</v>
      </c>
      <c r="BL519" t="s">
        <v>7567</v>
      </c>
      <c r="BM519" t="s">
        <v>7568</v>
      </c>
      <c r="BN519" t="s">
        <v>74</v>
      </c>
      <c r="BO519" t="s">
        <v>188</v>
      </c>
      <c r="BP519" t="s">
        <v>74</v>
      </c>
      <c r="BQ519" t="s">
        <v>74</v>
      </c>
      <c r="BR519" t="s">
        <v>99</v>
      </c>
      <c r="BS519" t="s">
        <v>7589</v>
      </c>
      <c r="BT519" t="str">
        <f>HYPERLINK("https%3A%2F%2Fwww.webofscience.com%2Fwos%2Fwoscc%2Ffull-record%2FWOS:000224524300047","View Full Record in Web of Science")</f>
        <v>View Full Record in Web of Science</v>
      </c>
    </row>
    <row r="520" spans="1:72" x14ac:dyDescent="0.15">
      <c r="A520" t="s">
        <v>3934</v>
      </c>
      <c r="B520" t="s">
        <v>7590</v>
      </c>
      <c r="C520" t="s">
        <v>74</v>
      </c>
      <c r="D520" t="s">
        <v>7555</v>
      </c>
      <c r="E520" t="s">
        <v>74</v>
      </c>
      <c r="F520" t="s">
        <v>7590</v>
      </c>
      <c r="G520" t="s">
        <v>74</v>
      </c>
      <c r="H520" t="s">
        <v>74</v>
      </c>
      <c r="I520" t="s">
        <v>7591</v>
      </c>
      <c r="J520" t="s">
        <v>7557</v>
      </c>
      <c r="K520" t="s">
        <v>7533</v>
      </c>
      <c r="L520" t="s">
        <v>74</v>
      </c>
      <c r="M520" t="s">
        <v>77</v>
      </c>
      <c r="N520" t="s">
        <v>3940</v>
      </c>
      <c r="O520" t="s">
        <v>7558</v>
      </c>
      <c r="P520" t="s">
        <v>7535</v>
      </c>
      <c r="Q520" t="s">
        <v>7536</v>
      </c>
      <c r="R520" t="s">
        <v>74</v>
      </c>
      <c r="S520" t="s">
        <v>74</v>
      </c>
      <c r="T520" t="s">
        <v>7592</v>
      </c>
      <c r="U520" t="s">
        <v>74</v>
      </c>
      <c r="V520" t="s">
        <v>7593</v>
      </c>
      <c r="W520" t="s">
        <v>7594</v>
      </c>
      <c r="X520" t="s">
        <v>7595</v>
      </c>
      <c r="Y520" t="s">
        <v>7596</v>
      </c>
      <c r="Z520" t="s">
        <v>7597</v>
      </c>
      <c r="AA520" t="s">
        <v>7598</v>
      </c>
      <c r="AB520" t="s">
        <v>7599</v>
      </c>
      <c r="AC520" t="s">
        <v>74</v>
      </c>
      <c r="AD520" t="s">
        <v>74</v>
      </c>
      <c r="AE520" t="s">
        <v>74</v>
      </c>
      <c r="AF520" t="s">
        <v>74</v>
      </c>
      <c r="AG520">
        <v>24</v>
      </c>
      <c r="AH520">
        <v>1</v>
      </c>
      <c r="AI520">
        <v>1</v>
      </c>
      <c r="AJ520">
        <v>0</v>
      </c>
      <c r="AK520">
        <v>0</v>
      </c>
      <c r="AL520" t="s">
        <v>7542</v>
      </c>
      <c r="AM520" t="s">
        <v>7543</v>
      </c>
      <c r="AN520" t="s">
        <v>7544</v>
      </c>
      <c r="AO520" t="s">
        <v>7545</v>
      </c>
      <c r="AP520" t="s">
        <v>7546</v>
      </c>
      <c r="AQ520" t="s">
        <v>7565</v>
      </c>
      <c r="AR520" t="s">
        <v>7548</v>
      </c>
      <c r="AS520" t="s">
        <v>74</v>
      </c>
      <c r="AT520" t="s">
        <v>74</v>
      </c>
      <c r="AU520">
        <v>2004</v>
      </c>
      <c r="AV520">
        <v>5489</v>
      </c>
      <c r="AW520" t="s">
        <v>74</v>
      </c>
      <c r="AX520" t="s">
        <v>536</v>
      </c>
      <c r="AY520" t="s">
        <v>74</v>
      </c>
      <c r="AZ520" t="s">
        <v>74</v>
      </c>
      <c r="BA520" t="s">
        <v>74</v>
      </c>
      <c r="BB520">
        <v>481</v>
      </c>
      <c r="BC520">
        <v>490</v>
      </c>
      <c r="BD520" t="s">
        <v>74</v>
      </c>
      <c r="BE520" t="s">
        <v>7600</v>
      </c>
      <c r="BF520" t="str">
        <f>HYPERLINK("http://dx.doi.org/10.1117/12.552057","http://dx.doi.org/10.1117/12.552057")</f>
        <v>http://dx.doi.org/10.1117/12.552057</v>
      </c>
      <c r="BG520" t="s">
        <v>74</v>
      </c>
      <c r="BH520" t="s">
        <v>74</v>
      </c>
      <c r="BI520">
        <v>10</v>
      </c>
      <c r="BJ520" t="s">
        <v>7567</v>
      </c>
      <c r="BK520" t="s">
        <v>3955</v>
      </c>
      <c r="BL520" t="s">
        <v>7567</v>
      </c>
      <c r="BM520" t="s">
        <v>7568</v>
      </c>
      <c r="BN520" t="s">
        <v>74</v>
      </c>
      <c r="BO520" t="s">
        <v>74</v>
      </c>
      <c r="BP520" t="s">
        <v>74</v>
      </c>
      <c r="BQ520" t="s">
        <v>74</v>
      </c>
      <c r="BR520" t="s">
        <v>99</v>
      </c>
      <c r="BS520" t="s">
        <v>7601</v>
      </c>
      <c r="BT520" t="str">
        <f>HYPERLINK("https%3A%2F%2Fwww.webofscience.com%2Fwos%2Fwoscc%2Ffull-record%2FWOS:000224524300048","View Full Record in Web of Science")</f>
        <v>View Full Record in Web of Science</v>
      </c>
    </row>
    <row r="521" spans="1:72" x14ac:dyDescent="0.15">
      <c r="A521" t="s">
        <v>3934</v>
      </c>
      <c r="B521" t="s">
        <v>7602</v>
      </c>
      <c r="C521" t="s">
        <v>74</v>
      </c>
      <c r="D521" t="s">
        <v>7555</v>
      </c>
      <c r="E521" t="s">
        <v>74</v>
      </c>
      <c r="F521" t="s">
        <v>7602</v>
      </c>
      <c r="G521" t="s">
        <v>74</v>
      </c>
      <c r="H521" t="s">
        <v>74</v>
      </c>
      <c r="I521" t="s">
        <v>7603</v>
      </c>
      <c r="J521" t="s">
        <v>7557</v>
      </c>
      <c r="K521" t="s">
        <v>7572</v>
      </c>
      <c r="L521" t="s">
        <v>74</v>
      </c>
      <c r="M521" t="s">
        <v>77</v>
      </c>
      <c r="N521" t="s">
        <v>3940</v>
      </c>
      <c r="O521" t="s">
        <v>7558</v>
      </c>
      <c r="P521" t="s">
        <v>7535</v>
      </c>
      <c r="Q521" t="s">
        <v>7536</v>
      </c>
      <c r="R521" t="s">
        <v>74</v>
      </c>
      <c r="S521" t="s">
        <v>74</v>
      </c>
      <c r="T521" t="s">
        <v>7604</v>
      </c>
      <c r="U521" t="s">
        <v>74</v>
      </c>
      <c r="V521" t="s">
        <v>7605</v>
      </c>
      <c r="W521" t="s">
        <v>7606</v>
      </c>
      <c r="X521" t="s">
        <v>7607</v>
      </c>
      <c r="Y521" t="s">
        <v>7608</v>
      </c>
      <c r="Z521" t="s">
        <v>74</v>
      </c>
      <c r="AA521" t="s">
        <v>74</v>
      </c>
      <c r="AB521" t="s">
        <v>74</v>
      </c>
      <c r="AC521" t="s">
        <v>74</v>
      </c>
      <c r="AD521" t="s">
        <v>74</v>
      </c>
      <c r="AE521" t="s">
        <v>74</v>
      </c>
      <c r="AF521" t="s">
        <v>74</v>
      </c>
      <c r="AG521">
        <v>7</v>
      </c>
      <c r="AH521">
        <v>0</v>
      </c>
      <c r="AI521">
        <v>0</v>
      </c>
      <c r="AJ521">
        <v>0</v>
      </c>
      <c r="AK521">
        <v>0</v>
      </c>
      <c r="AL521" t="s">
        <v>7542</v>
      </c>
      <c r="AM521" t="s">
        <v>7543</v>
      </c>
      <c r="AN521" t="s">
        <v>7544</v>
      </c>
      <c r="AO521" t="s">
        <v>7545</v>
      </c>
      <c r="AP521" t="s">
        <v>74</v>
      </c>
      <c r="AQ521" t="s">
        <v>7565</v>
      </c>
      <c r="AR521" t="s">
        <v>7577</v>
      </c>
      <c r="AS521" t="s">
        <v>74</v>
      </c>
      <c r="AT521" t="s">
        <v>74</v>
      </c>
      <c r="AU521">
        <v>2004</v>
      </c>
      <c r="AV521">
        <v>5489</v>
      </c>
      <c r="AW521" t="s">
        <v>74</v>
      </c>
      <c r="AX521" t="s">
        <v>536</v>
      </c>
      <c r="AY521" t="s">
        <v>74</v>
      </c>
      <c r="AZ521" t="s">
        <v>74</v>
      </c>
      <c r="BA521" t="s">
        <v>74</v>
      </c>
      <c r="BB521">
        <v>545</v>
      </c>
      <c r="BC521">
        <v>551</v>
      </c>
      <c r="BD521" t="s">
        <v>74</v>
      </c>
      <c r="BE521" t="s">
        <v>7609</v>
      </c>
      <c r="BF521" t="str">
        <f>HYPERLINK("http://dx.doi.org/10.1117/12.550078","http://dx.doi.org/10.1117/12.550078")</f>
        <v>http://dx.doi.org/10.1117/12.550078</v>
      </c>
      <c r="BG521" t="s">
        <v>74</v>
      </c>
      <c r="BH521" t="s">
        <v>74</v>
      </c>
      <c r="BI521">
        <v>7</v>
      </c>
      <c r="BJ521" t="s">
        <v>7567</v>
      </c>
      <c r="BK521" t="s">
        <v>3955</v>
      </c>
      <c r="BL521" t="s">
        <v>7567</v>
      </c>
      <c r="BM521" t="s">
        <v>7568</v>
      </c>
      <c r="BN521" t="s">
        <v>74</v>
      </c>
      <c r="BO521" t="s">
        <v>74</v>
      </c>
      <c r="BP521" t="s">
        <v>74</v>
      </c>
      <c r="BQ521" t="s">
        <v>74</v>
      </c>
      <c r="BR521" t="s">
        <v>99</v>
      </c>
      <c r="BS521" t="s">
        <v>7610</v>
      </c>
      <c r="BT521" t="str">
        <f>HYPERLINK("https%3A%2F%2Fwww.webofscience.com%2Fwos%2Fwoscc%2Ffull-record%2FWOS:000224524300054","View Full Record in Web of Science")</f>
        <v>View Full Record in Web of Science</v>
      </c>
    </row>
    <row r="522" spans="1:72" x14ac:dyDescent="0.15">
      <c r="A522" t="s">
        <v>3934</v>
      </c>
      <c r="B522" t="s">
        <v>7611</v>
      </c>
      <c r="C522" t="s">
        <v>74</v>
      </c>
      <c r="D522" t="s">
        <v>7555</v>
      </c>
      <c r="E522" t="s">
        <v>74</v>
      </c>
      <c r="F522" t="s">
        <v>7611</v>
      </c>
      <c r="G522" t="s">
        <v>74</v>
      </c>
      <c r="H522" t="s">
        <v>74</v>
      </c>
      <c r="I522" t="s">
        <v>7612</v>
      </c>
      <c r="J522" t="s">
        <v>7557</v>
      </c>
      <c r="K522" t="s">
        <v>7572</v>
      </c>
      <c r="L522" t="s">
        <v>74</v>
      </c>
      <c r="M522" t="s">
        <v>77</v>
      </c>
      <c r="N522" t="s">
        <v>3940</v>
      </c>
      <c r="O522" t="s">
        <v>7558</v>
      </c>
      <c r="P522" t="s">
        <v>7535</v>
      </c>
      <c r="Q522" t="s">
        <v>7536</v>
      </c>
      <c r="R522" t="s">
        <v>74</v>
      </c>
      <c r="S522" t="s">
        <v>74</v>
      </c>
      <c r="T522" t="s">
        <v>7613</v>
      </c>
      <c r="U522" t="s">
        <v>74</v>
      </c>
      <c r="V522" t="s">
        <v>7614</v>
      </c>
      <c r="W522" t="s">
        <v>7615</v>
      </c>
      <c r="X522" t="s">
        <v>7616</v>
      </c>
      <c r="Y522" t="s">
        <v>7617</v>
      </c>
      <c r="Z522" t="s">
        <v>74</v>
      </c>
      <c r="AA522" t="s">
        <v>74</v>
      </c>
      <c r="AB522" t="s">
        <v>74</v>
      </c>
      <c r="AC522" t="s">
        <v>74</v>
      </c>
      <c r="AD522" t="s">
        <v>74</v>
      </c>
      <c r="AE522" t="s">
        <v>74</v>
      </c>
      <c r="AF522" t="s">
        <v>74</v>
      </c>
      <c r="AG522">
        <v>2</v>
      </c>
      <c r="AH522">
        <v>1</v>
      </c>
      <c r="AI522">
        <v>1</v>
      </c>
      <c r="AJ522">
        <v>0</v>
      </c>
      <c r="AK522">
        <v>0</v>
      </c>
      <c r="AL522" t="s">
        <v>7542</v>
      </c>
      <c r="AM522" t="s">
        <v>7543</v>
      </c>
      <c r="AN522" t="s">
        <v>7544</v>
      </c>
      <c r="AO522" t="s">
        <v>7545</v>
      </c>
      <c r="AP522" t="s">
        <v>74</v>
      </c>
      <c r="AQ522" t="s">
        <v>7565</v>
      </c>
      <c r="AR522" t="s">
        <v>7577</v>
      </c>
      <c r="AS522" t="s">
        <v>74</v>
      </c>
      <c r="AT522" t="s">
        <v>74</v>
      </c>
      <c r="AU522">
        <v>2004</v>
      </c>
      <c r="AV522">
        <v>5489</v>
      </c>
      <c r="AW522" t="s">
        <v>74</v>
      </c>
      <c r="AX522" t="s">
        <v>536</v>
      </c>
      <c r="AY522" t="s">
        <v>74</v>
      </c>
      <c r="AZ522" t="s">
        <v>74</v>
      </c>
      <c r="BA522" t="s">
        <v>74</v>
      </c>
      <c r="BB522">
        <v>927</v>
      </c>
      <c r="BC522">
        <v>937</v>
      </c>
      <c r="BD522" t="s">
        <v>74</v>
      </c>
      <c r="BE522" t="s">
        <v>7618</v>
      </c>
      <c r="BF522" t="str">
        <f>HYPERLINK("http://dx.doi.org/10.1117/12.552007","http://dx.doi.org/10.1117/12.552007")</f>
        <v>http://dx.doi.org/10.1117/12.552007</v>
      </c>
      <c r="BG522" t="s">
        <v>74</v>
      </c>
      <c r="BH522" t="s">
        <v>74</v>
      </c>
      <c r="BI522">
        <v>11</v>
      </c>
      <c r="BJ522" t="s">
        <v>7567</v>
      </c>
      <c r="BK522" t="s">
        <v>3955</v>
      </c>
      <c r="BL522" t="s">
        <v>7567</v>
      </c>
      <c r="BM522" t="s">
        <v>7568</v>
      </c>
      <c r="BN522" t="s">
        <v>74</v>
      </c>
      <c r="BO522" t="s">
        <v>74</v>
      </c>
      <c r="BP522" t="s">
        <v>74</v>
      </c>
      <c r="BQ522" t="s">
        <v>74</v>
      </c>
      <c r="BR522" t="s">
        <v>99</v>
      </c>
      <c r="BS522" t="s">
        <v>7619</v>
      </c>
      <c r="BT522" t="str">
        <f>HYPERLINK("https%3A%2F%2Fwww.webofscience.com%2Fwos%2Fwoscc%2Ffull-record%2FWOS:000224524300090","View Full Record in Web of Science")</f>
        <v>View Full Record in Web of Science</v>
      </c>
    </row>
    <row r="523" spans="1:72" x14ac:dyDescent="0.15">
      <c r="A523" t="s">
        <v>3934</v>
      </c>
      <c r="B523" t="s">
        <v>7620</v>
      </c>
      <c r="C523" t="s">
        <v>74</v>
      </c>
      <c r="D523" t="s">
        <v>7621</v>
      </c>
      <c r="E523" t="s">
        <v>74</v>
      </c>
      <c r="F523" t="s">
        <v>7620</v>
      </c>
      <c r="G523" t="s">
        <v>74</v>
      </c>
      <c r="H523" t="s">
        <v>74</v>
      </c>
      <c r="I523" t="s">
        <v>7622</v>
      </c>
      <c r="J523" t="s">
        <v>7623</v>
      </c>
      <c r="K523" t="s">
        <v>7624</v>
      </c>
      <c r="L523" t="s">
        <v>74</v>
      </c>
      <c r="M523" t="s">
        <v>77</v>
      </c>
      <c r="N523" t="s">
        <v>3940</v>
      </c>
      <c r="O523" t="s">
        <v>7625</v>
      </c>
      <c r="P523" t="s">
        <v>7626</v>
      </c>
      <c r="Q523" t="s">
        <v>7627</v>
      </c>
      <c r="R523" t="s">
        <v>74</v>
      </c>
      <c r="S523" t="s">
        <v>74</v>
      </c>
      <c r="T523" t="s">
        <v>74</v>
      </c>
      <c r="U523" t="s">
        <v>7628</v>
      </c>
      <c r="V523" t="s">
        <v>7629</v>
      </c>
      <c r="W523" t="s">
        <v>7477</v>
      </c>
      <c r="X523" t="s">
        <v>7478</v>
      </c>
      <c r="Y523" t="s">
        <v>7479</v>
      </c>
      <c r="Z523" t="s">
        <v>74</v>
      </c>
      <c r="AA523" t="s">
        <v>7630</v>
      </c>
      <c r="AB523" t="s">
        <v>74</v>
      </c>
      <c r="AC523" t="s">
        <v>74</v>
      </c>
      <c r="AD523" t="s">
        <v>74</v>
      </c>
      <c r="AE523" t="s">
        <v>74</v>
      </c>
      <c r="AF523" t="s">
        <v>74</v>
      </c>
      <c r="AG523">
        <v>82</v>
      </c>
      <c r="AH523">
        <v>4</v>
      </c>
      <c r="AI523">
        <v>4</v>
      </c>
      <c r="AJ523">
        <v>1</v>
      </c>
      <c r="AK523">
        <v>17</v>
      </c>
      <c r="AL523" t="s">
        <v>86</v>
      </c>
      <c r="AM523" t="s">
        <v>3376</v>
      </c>
      <c r="AN523" t="s">
        <v>7631</v>
      </c>
      <c r="AO523" t="s">
        <v>7632</v>
      </c>
      <c r="AP523" t="s">
        <v>74</v>
      </c>
      <c r="AQ523" t="s">
        <v>7633</v>
      </c>
      <c r="AR523" t="s">
        <v>7634</v>
      </c>
      <c r="AS523" t="s">
        <v>7635</v>
      </c>
      <c r="AT523" t="s">
        <v>74</v>
      </c>
      <c r="AU523">
        <v>2004</v>
      </c>
      <c r="AV523">
        <v>21</v>
      </c>
      <c r="AW523" t="s">
        <v>74</v>
      </c>
      <c r="AX523" t="s">
        <v>74</v>
      </c>
      <c r="AY523" t="s">
        <v>74</v>
      </c>
      <c r="AZ523" t="s">
        <v>74</v>
      </c>
      <c r="BA523" t="s">
        <v>74</v>
      </c>
      <c r="BB523">
        <v>289</v>
      </c>
      <c r="BC523">
        <v>312</v>
      </c>
      <c r="BD523" t="s">
        <v>74</v>
      </c>
      <c r="BE523" t="s">
        <v>74</v>
      </c>
      <c r="BF523" t="s">
        <v>74</v>
      </c>
      <c r="BG523" t="s">
        <v>74</v>
      </c>
      <c r="BH523" t="s">
        <v>74</v>
      </c>
      <c r="BI523">
        <v>24</v>
      </c>
      <c r="BJ523" t="s">
        <v>186</v>
      </c>
      <c r="BK523" t="s">
        <v>3955</v>
      </c>
      <c r="BL523" t="s">
        <v>186</v>
      </c>
      <c r="BM523" t="s">
        <v>7636</v>
      </c>
      <c r="BN523" t="s">
        <v>74</v>
      </c>
      <c r="BO523" t="s">
        <v>74</v>
      </c>
      <c r="BP523" t="s">
        <v>74</v>
      </c>
      <c r="BQ523" t="s">
        <v>74</v>
      </c>
      <c r="BR523" t="s">
        <v>99</v>
      </c>
      <c r="BS523" t="s">
        <v>7637</v>
      </c>
      <c r="BT523" t="str">
        <f>HYPERLINK("https%3A%2F%2Fwww.webofscience.com%2Fwos%2Fwoscc%2Ffull-record%2FWOS:000228320400011","View Full Record in Web of Science")</f>
        <v>View Full Record in Web of Science</v>
      </c>
    </row>
    <row r="524" spans="1:72" x14ac:dyDescent="0.15">
      <c r="A524" t="s">
        <v>3934</v>
      </c>
      <c r="B524" t="s">
        <v>7638</v>
      </c>
      <c r="C524" t="s">
        <v>74</v>
      </c>
      <c r="D524" t="s">
        <v>74</v>
      </c>
      <c r="E524" t="s">
        <v>3936</v>
      </c>
      <c r="F524" t="s">
        <v>7638</v>
      </c>
      <c r="G524" t="s">
        <v>74</v>
      </c>
      <c r="H524" t="s">
        <v>74</v>
      </c>
      <c r="I524" t="s">
        <v>7639</v>
      </c>
      <c r="J524" t="s">
        <v>7640</v>
      </c>
      <c r="K524" t="s">
        <v>7641</v>
      </c>
      <c r="L524" t="s">
        <v>74</v>
      </c>
      <c r="M524" t="s">
        <v>77</v>
      </c>
      <c r="N524" t="s">
        <v>3940</v>
      </c>
      <c r="O524" t="s">
        <v>7642</v>
      </c>
      <c r="P524" t="s">
        <v>7643</v>
      </c>
      <c r="Q524" t="s">
        <v>7644</v>
      </c>
      <c r="R524" t="s">
        <v>74</v>
      </c>
      <c r="S524" t="s">
        <v>74</v>
      </c>
      <c r="T524" t="s">
        <v>74</v>
      </c>
      <c r="U524" t="s">
        <v>74</v>
      </c>
      <c r="V524" t="s">
        <v>7645</v>
      </c>
      <c r="W524" t="s">
        <v>7646</v>
      </c>
      <c r="X524" t="s">
        <v>7647</v>
      </c>
      <c r="Y524" t="s">
        <v>7648</v>
      </c>
      <c r="Z524" t="s">
        <v>7649</v>
      </c>
      <c r="AA524" t="s">
        <v>7650</v>
      </c>
      <c r="AB524" t="s">
        <v>7651</v>
      </c>
      <c r="AC524" t="s">
        <v>74</v>
      </c>
      <c r="AD524" t="s">
        <v>74</v>
      </c>
      <c r="AE524" t="s">
        <v>74</v>
      </c>
      <c r="AF524" t="s">
        <v>74</v>
      </c>
      <c r="AG524">
        <v>6</v>
      </c>
      <c r="AH524">
        <v>0</v>
      </c>
      <c r="AI524">
        <v>0</v>
      </c>
      <c r="AJ524">
        <v>0</v>
      </c>
      <c r="AK524">
        <v>1</v>
      </c>
      <c r="AL524" t="s">
        <v>3948</v>
      </c>
      <c r="AM524" t="s">
        <v>87</v>
      </c>
      <c r="AN524" t="s">
        <v>3949</v>
      </c>
      <c r="AO524" t="s">
        <v>7652</v>
      </c>
      <c r="AP524" t="s">
        <v>74</v>
      </c>
      <c r="AQ524" t="s">
        <v>7653</v>
      </c>
      <c r="AR524" t="s">
        <v>7654</v>
      </c>
      <c r="AS524" t="s">
        <v>74</v>
      </c>
      <c r="AT524" t="s">
        <v>74</v>
      </c>
      <c r="AU524">
        <v>2004</v>
      </c>
      <c r="AV524" t="s">
        <v>74</v>
      </c>
      <c r="AW524" t="s">
        <v>74</v>
      </c>
      <c r="AX524" t="s">
        <v>74</v>
      </c>
      <c r="AY524" t="s">
        <v>74</v>
      </c>
      <c r="AZ524" t="s">
        <v>74</v>
      </c>
      <c r="BA524" t="s">
        <v>74</v>
      </c>
      <c r="BB524">
        <v>117</v>
      </c>
      <c r="BC524">
        <v>120</v>
      </c>
      <c r="BD524" t="s">
        <v>74</v>
      </c>
      <c r="BE524" t="s">
        <v>74</v>
      </c>
      <c r="BF524" t="s">
        <v>74</v>
      </c>
      <c r="BG524" t="s">
        <v>74</v>
      </c>
      <c r="BH524" t="s">
        <v>74</v>
      </c>
      <c r="BI524">
        <v>4</v>
      </c>
      <c r="BJ524" t="s">
        <v>7655</v>
      </c>
      <c r="BK524" t="s">
        <v>3955</v>
      </c>
      <c r="BL524" t="s">
        <v>7656</v>
      </c>
      <c r="BM524" t="s">
        <v>7657</v>
      </c>
      <c r="BN524" t="s">
        <v>74</v>
      </c>
      <c r="BO524" t="s">
        <v>74</v>
      </c>
      <c r="BP524" t="s">
        <v>74</v>
      </c>
      <c r="BQ524" t="s">
        <v>74</v>
      </c>
      <c r="BR524" t="s">
        <v>99</v>
      </c>
      <c r="BS524" t="s">
        <v>7658</v>
      </c>
      <c r="BT524" t="str">
        <f>HYPERLINK("https%3A%2F%2Fwww.webofscience.com%2Fwos%2Fwoscc%2Ffull-record%2FWOS:000227006900031","View Full Record in Web of Science")</f>
        <v>View Full Record in Web of Science</v>
      </c>
    </row>
    <row r="525" spans="1:72" x14ac:dyDescent="0.15">
      <c r="A525" t="s">
        <v>3934</v>
      </c>
      <c r="B525" t="s">
        <v>7659</v>
      </c>
      <c r="C525" t="s">
        <v>74</v>
      </c>
      <c r="D525" t="s">
        <v>74</v>
      </c>
      <c r="E525" t="s">
        <v>3936</v>
      </c>
      <c r="F525" t="s">
        <v>7659</v>
      </c>
      <c r="G525" t="s">
        <v>74</v>
      </c>
      <c r="H525" t="s">
        <v>74</v>
      </c>
      <c r="I525" t="s">
        <v>7660</v>
      </c>
      <c r="J525" t="s">
        <v>7640</v>
      </c>
      <c r="K525" t="s">
        <v>7641</v>
      </c>
      <c r="L525" t="s">
        <v>74</v>
      </c>
      <c r="M525" t="s">
        <v>77</v>
      </c>
      <c r="N525" t="s">
        <v>3940</v>
      </c>
      <c r="O525" t="s">
        <v>7642</v>
      </c>
      <c r="P525" t="s">
        <v>7643</v>
      </c>
      <c r="Q525" t="s">
        <v>7644</v>
      </c>
      <c r="R525" t="s">
        <v>74</v>
      </c>
      <c r="S525" t="s">
        <v>74</v>
      </c>
      <c r="T525" t="s">
        <v>74</v>
      </c>
      <c r="U525" t="s">
        <v>74</v>
      </c>
      <c r="V525" t="s">
        <v>7661</v>
      </c>
      <c r="W525" t="s">
        <v>7662</v>
      </c>
      <c r="X525" t="s">
        <v>74</v>
      </c>
      <c r="Y525" t="s">
        <v>7663</v>
      </c>
      <c r="Z525" t="s">
        <v>7664</v>
      </c>
      <c r="AA525" t="s">
        <v>7665</v>
      </c>
      <c r="AB525" t="s">
        <v>7666</v>
      </c>
      <c r="AC525" t="s">
        <v>74</v>
      </c>
      <c r="AD525" t="s">
        <v>74</v>
      </c>
      <c r="AE525" t="s">
        <v>74</v>
      </c>
      <c r="AF525" t="s">
        <v>74</v>
      </c>
      <c r="AG525">
        <v>5</v>
      </c>
      <c r="AH525">
        <v>0</v>
      </c>
      <c r="AI525">
        <v>0</v>
      </c>
      <c r="AJ525">
        <v>0</v>
      </c>
      <c r="AK525">
        <v>7</v>
      </c>
      <c r="AL525" t="s">
        <v>3948</v>
      </c>
      <c r="AM525" t="s">
        <v>87</v>
      </c>
      <c r="AN525" t="s">
        <v>3949</v>
      </c>
      <c r="AO525" t="s">
        <v>7652</v>
      </c>
      <c r="AP525" t="s">
        <v>74</v>
      </c>
      <c r="AQ525" t="s">
        <v>7653</v>
      </c>
      <c r="AR525" t="s">
        <v>7654</v>
      </c>
      <c r="AS525" t="s">
        <v>74</v>
      </c>
      <c r="AT525" t="s">
        <v>74</v>
      </c>
      <c r="AU525">
        <v>2004</v>
      </c>
      <c r="AV525" t="s">
        <v>74</v>
      </c>
      <c r="AW525" t="s">
        <v>74</v>
      </c>
      <c r="AX525" t="s">
        <v>74</v>
      </c>
      <c r="AY525" t="s">
        <v>74</v>
      </c>
      <c r="AZ525" t="s">
        <v>74</v>
      </c>
      <c r="BA525" t="s">
        <v>74</v>
      </c>
      <c r="BB525">
        <v>649</v>
      </c>
      <c r="BC525">
        <v>652</v>
      </c>
      <c r="BD525" t="s">
        <v>74</v>
      </c>
      <c r="BE525" t="s">
        <v>74</v>
      </c>
      <c r="BF525" t="s">
        <v>74</v>
      </c>
      <c r="BG525" t="s">
        <v>74</v>
      </c>
      <c r="BH525" t="s">
        <v>74</v>
      </c>
      <c r="BI525">
        <v>4</v>
      </c>
      <c r="BJ525" t="s">
        <v>7655</v>
      </c>
      <c r="BK525" t="s">
        <v>3955</v>
      </c>
      <c r="BL525" t="s">
        <v>7656</v>
      </c>
      <c r="BM525" t="s">
        <v>7657</v>
      </c>
      <c r="BN525" t="s">
        <v>74</v>
      </c>
      <c r="BO525" t="s">
        <v>74</v>
      </c>
      <c r="BP525" t="s">
        <v>74</v>
      </c>
      <c r="BQ525" t="s">
        <v>74</v>
      </c>
      <c r="BR525" t="s">
        <v>99</v>
      </c>
      <c r="BS525" t="s">
        <v>7667</v>
      </c>
      <c r="BT525" t="str">
        <f>HYPERLINK("https%3A%2F%2Fwww.webofscience.com%2Fwos%2Fwoscc%2Ffull-record%2FWOS:000227006900170","View Full Record in Web of Science")</f>
        <v>View Full Record in Web of Science</v>
      </c>
    </row>
    <row r="526" spans="1:72" x14ac:dyDescent="0.15">
      <c r="A526" t="s">
        <v>3934</v>
      </c>
      <c r="B526" t="s">
        <v>7668</v>
      </c>
      <c r="C526" t="s">
        <v>74</v>
      </c>
      <c r="D526" t="s">
        <v>74</v>
      </c>
      <c r="E526" t="s">
        <v>3936</v>
      </c>
      <c r="F526" t="s">
        <v>7668</v>
      </c>
      <c r="G526" t="s">
        <v>74</v>
      </c>
      <c r="H526" t="s">
        <v>74</v>
      </c>
      <c r="I526" t="s">
        <v>7669</v>
      </c>
      <c r="J526" t="s">
        <v>7640</v>
      </c>
      <c r="K526" t="s">
        <v>7641</v>
      </c>
      <c r="L526" t="s">
        <v>74</v>
      </c>
      <c r="M526" t="s">
        <v>77</v>
      </c>
      <c r="N526" t="s">
        <v>3940</v>
      </c>
      <c r="O526" t="s">
        <v>7642</v>
      </c>
      <c r="P526" t="s">
        <v>7643</v>
      </c>
      <c r="Q526" t="s">
        <v>7644</v>
      </c>
      <c r="R526" t="s">
        <v>74</v>
      </c>
      <c r="S526" t="s">
        <v>74</v>
      </c>
      <c r="T526" t="s">
        <v>7670</v>
      </c>
      <c r="U526" t="s">
        <v>74</v>
      </c>
      <c r="V526" t="s">
        <v>7671</v>
      </c>
      <c r="W526" t="s">
        <v>7672</v>
      </c>
      <c r="X526" t="s">
        <v>7673</v>
      </c>
      <c r="Y526" t="s">
        <v>7674</v>
      </c>
      <c r="Z526" t="s">
        <v>7675</v>
      </c>
      <c r="AA526" t="s">
        <v>74</v>
      </c>
      <c r="AB526" t="s">
        <v>74</v>
      </c>
      <c r="AC526" t="s">
        <v>74</v>
      </c>
      <c r="AD526" t="s">
        <v>74</v>
      </c>
      <c r="AE526" t="s">
        <v>74</v>
      </c>
      <c r="AF526" t="s">
        <v>74</v>
      </c>
      <c r="AG526">
        <v>10</v>
      </c>
      <c r="AH526">
        <v>3</v>
      </c>
      <c r="AI526">
        <v>3</v>
      </c>
      <c r="AJ526">
        <v>0</v>
      </c>
      <c r="AK526">
        <v>1</v>
      </c>
      <c r="AL526" t="s">
        <v>3948</v>
      </c>
      <c r="AM526" t="s">
        <v>87</v>
      </c>
      <c r="AN526" t="s">
        <v>3949</v>
      </c>
      <c r="AO526" t="s">
        <v>7652</v>
      </c>
      <c r="AP526" t="s">
        <v>74</v>
      </c>
      <c r="AQ526" t="s">
        <v>7653</v>
      </c>
      <c r="AR526" t="s">
        <v>7654</v>
      </c>
      <c r="AS526" t="s">
        <v>74</v>
      </c>
      <c r="AT526" t="s">
        <v>74</v>
      </c>
      <c r="AU526">
        <v>2004</v>
      </c>
      <c r="AV526" t="s">
        <v>74</v>
      </c>
      <c r="AW526" t="s">
        <v>74</v>
      </c>
      <c r="AX526" t="s">
        <v>74</v>
      </c>
      <c r="AY526" t="s">
        <v>74</v>
      </c>
      <c r="AZ526" t="s">
        <v>74</v>
      </c>
      <c r="BA526" t="s">
        <v>74</v>
      </c>
      <c r="BB526">
        <v>1152</v>
      </c>
      <c r="BC526">
        <v>1155</v>
      </c>
      <c r="BD526" t="s">
        <v>74</v>
      </c>
      <c r="BE526" t="s">
        <v>74</v>
      </c>
      <c r="BF526" t="s">
        <v>74</v>
      </c>
      <c r="BG526" t="s">
        <v>74</v>
      </c>
      <c r="BH526" t="s">
        <v>74</v>
      </c>
      <c r="BI526">
        <v>4</v>
      </c>
      <c r="BJ526" t="s">
        <v>7655</v>
      </c>
      <c r="BK526" t="s">
        <v>3955</v>
      </c>
      <c r="BL526" t="s">
        <v>7656</v>
      </c>
      <c r="BM526" t="s">
        <v>7657</v>
      </c>
      <c r="BN526" t="s">
        <v>74</v>
      </c>
      <c r="BO526" t="s">
        <v>74</v>
      </c>
      <c r="BP526" t="s">
        <v>74</v>
      </c>
      <c r="BQ526" t="s">
        <v>74</v>
      </c>
      <c r="BR526" t="s">
        <v>99</v>
      </c>
      <c r="BS526" t="s">
        <v>7676</v>
      </c>
      <c r="BT526" t="str">
        <f>HYPERLINK("https%3A%2F%2Fwww.webofscience.com%2Fwos%2Fwoscc%2Ffull-record%2FWOS:000227006900304","View Full Record in Web of Science")</f>
        <v>View Full Record in Web of Science</v>
      </c>
    </row>
    <row r="527" spans="1:72" x14ac:dyDescent="0.15">
      <c r="A527" t="s">
        <v>3934</v>
      </c>
      <c r="B527" t="s">
        <v>7677</v>
      </c>
      <c r="C527" t="s">
        <v>74</v>
      </c>
      <c r="D527" t="s">
        <v>74</v>
      </c>
      <c r="E527" t="s">
        <v>3936</v>
      </c>
      <c r="F527" t="s">
        <v>7677</v>
      </c>
      <c r="G527" t="s">
        <v>74</v>
      </c>
      <c r="H527" t="s">
        <v>74</v>
      </c>
      <c r="I527" t="s">
        <v>7678</v>
      </c>
      <c r="J527" t="s">
        <v>7640</v>
      </c>
      <c r="K527" t="s">
        <v>7641</v>
      </c>
      <c r="L527" t="s">
        <v>74</v>
      </c>
      <c r="M527" t="s">
        <v>77</v>
      </c>
      <c r="N527" t="s">
        <v>3940</v>
      </c>
      <c r="O527" t="s">
        <v>7642</v>
      </c>
      <c r="P527" t="s">
        <v>7643</v>
      </c>
      <c r="Q527" t="s">
        <v>7644</v>
      </c>
      <c r="R527" t="s">
        <v>74</v>
      </c>
      <c r="S527" t="s">
        <v>74</v>
      </c>
      <c r="T527" t="s">
        <v>7679</v>
      </c>
      <c r="U527" t="s">
        <v>74</v>
      </c>
      <c r="V527" t="s">
        <v>7680</v>
      </c>
      <c r="W527" t="s">
        <v>7681</v>
      </c>
      <c r="X527" t="s">
        <v>7682</v>
      </c>
      <c r="Y527" t="s">
        <v>7683</v>
      </c>
      <c r="Z527" t="s">
        <v>7684</v>
      </c>
      <c r="AA527" t="s">
        <v>7685</v>
      </c>
      <c r="AB527" t="s">
        <v>7686</v>
      </c>
      <c r="AC527" t="s">
        <v>74</v>
      </c>
      <c r="AD527" t="s">
        <v>74</v>
      </c>
      <c r="AE527" t="s">
        <v>74</v>
      </c>
      <c r="AF527" t="s">
        <v>74</v>
      </c>
      <c r="AG527">
        <v>4</v>
      </c>
      <c r="AH527">
        <v>0</v>
      </c>
      <c r="AI527">
        <v>0</v>
      </c>
      <c r="AJ527">
        <v>0</v>
      </c>
      <c r="AK527">
        <v>0</v>
      </c>
      <c r="AL527" t="s">
        <v>3948</v>
      </c>
      <c r="AM527" t="s">
        <v>87</v>
      </c>
      <c r="AN527" t="s">
        <v>3949</v>
      </c>
      <c r="AO527" t="s">
        <v>7652</v>
      </c>
      <c r="AP527" t="s">
        <v>74</v>
      </c>
      <c r="AQ527" t="s">
        <v>7653</v>
      </c>
      <c r="AR527" t="s">
        <v>7654</v>
      </c>
      <c r="AS527" t="s">
        <v>74</v>
      </c>
      <c r="AT527" t="s">
        <v>74</v>
      </c>
      <c r="AU527">
        <v>2004</v>
      </c>
      <c r="AV527" t="s">
        <v>74</v>
      </c>
      <c r="AW527" t="s">
        <v>74</v>
      </c>
      <c r="AX527" t="s">
        <v>74</v>
      </c>
      <c r="AY527" t="s">
        <v>74</v>
      </c>
      <c r="AZ527" t="s">
        <v>74</v>
      </c>
      <c r="BA527" t="s">
        <v>74</v>
      </c>
      <c r="BB527">
        <v>2462</v>
      </c>
      <c r="BC527">
        <v>2464</v>
      </c>
      <c r="BD527" t="s">
        <v>74</v>
      </c>
      <c r="BE527" t="s">
        <v>74</v>
      </c>
      <c r="BF527" t="s">
        <v>74</v>
      </c>
      <c r="BG527" t="s">
        <v>74</v>
      </c>
      <c r="BH527" t="s">
        <v>74</v>
      </c>
      <c r="BI527">
        <v>3</v>
      </c>
      <c r="BJ527" t="s">
        <v>7655</v>
      </c>
      <c r="BK527" t="s">
        <v>3955</v>
      </c>
      <c r="BL527" t="s">
        <v>7656</v>
      </c>
      <c r="BM527" t="s">
        <v>7657</v>
      </c>
      <c r="BN527" t="s">
        <v>74</v>
      </c>
      <c r="BO527" t="s">
        <v>74</v>
      </c>
      <c r="BP527" t="s">
        <v>74</v>
      </c>
      <c r="BQ527" t="s">
        <v>74</v>
      </c>
      <c r="BR527" t="s">
        <v>99</v>
      </c>
      <c r="BS527" t="s">
        <v>7687</v>
      </c>
      <c r="BT527" t="str">
        <f>HYPERLINK("https%3A%2F%2Fwww.webofscience.com%2Fwos%2Fwoscc%2Ffull-record%2FWOS:000227006900642","View Full Record in Web of Science")</f>
        <v>View Full Record in Web of Science</v>
      </c>
    </row>
    <row r="528" spans="1:72" x14ac:dyDescent="0.15">
      <c r="A528" t="s">
        <v>3934</v>
      </c>
      <c r="B528" t="s">
        <v>7688</v>
      </c>
      <c r="C528" t="s">
        <v>74</v>
      </c>
      <c r="D528" t="s">
        <v>74</v>
      </c>
      <c r="E528" t="s">
        <v>3936</v>
      </c>
      <c r="F528" t="s">
        <v>7688</v>
      </c>
      <c r="G528" t="s">
        <v>74</v>
      </c>
      <c r="H528" t="s">
        <v>74</v>
      </c>
      <c r="I528" t="s">
        <v>7689</v>
      </c>
      <c r="J528" t="s">
        <v>7640</v>
      </c>
      <c r="K528" t="s">
        <v>7641</v>
      </c>
      <c r="L528" t="s">
        <v>74</v>
      </c>
      <c r="M528" t="s">
        <v>77</v>
      </c>
      <c r="N528" t="s">
        <v>3940</v>
      </c>
      <c r="O528" t="s">
        <v>7642</v>
      </c>
      <c r="P528" t="s">
        <v>7643</v>
      </c>
      <c r="Q528" t="s">
        <v>7644</v>
      </c>
      <c r="R528" t="s">
        <v>74</v>
      </c>
      <c r="S528" t="s">
        <v>74</v>
      </c>
      <c r="T528" t="s">
        <v>74</v>
      </c>
      <c r="U528" t="s">
        <v>74</v>
      </c>
      <c r="V528" t="s">
        <v>7690</v>
      </c>
      <c r="W528" t="s">
        <v>7691</v>
      </c>
      <c r="X528" t="s">
        <v>7692</v>
      </c>
      <c r="Y528" t="s">
        <v>7693</v>
      </c>
      <c r="Z528" t="s">
        <v>7694</v>
      </c>
      <c r="AA528" t="s">
        <v>74</v>
      </c>
      <c r="AB528" t="s">
        <v>74</v>
      </c>
      <c r="AC528" t="s">
        <v>74</v>
      </c>
      <c r="AD528" t="s">
        <v>74</v>
      </c>
      <c r="AE528" t="s">
        <v>74</v>
      </c>
      <c r="AF528" t="s">
        <v>74</v>
      </c>
      <c r="AG528">
        <v>3</v>
      </c>
      <c r="AH528">
        <v>0</v>
      </c>
      <c r="AI528">
        <v>0</v>
      </c>
      <c r="AJ528">
        <v>0</v>
      </c>
      <c r="AK528">
        <v>0</v>
      </c>
      <c r="AL528" t="s">
        <v>3948</v>
      </c>
      <c r="AM528" t="s">
        <v>87</v>
      </c>
      <c r="AN528" t="s">
        <v>3949</v>
      </c>
      <c r="AO528" t="s">
        <v>7652</v>
      </c>
      <c r="AP528" t="s">
        <v>74</v>
      </c>
      <c r="AQ528" t="s">
        <v>7653</v>
      </c>
      <c r="AR528" t="s">
        <v>7654</v>
      </c>
      <c r="AS528" t="s">
        <v>74</v>
      </c>
      <c r="AT528" t="s">
        <v>74</v>
      </c>
      <c r="AU528">
        <v>2004</v>
      </c>
      <c r="AV528" t="s">
        <v>74</v>
      </c>
      <c r="AW528" t="s">
        <v>74</v>
      </c>
      <c r="AX528" t="s">
        <v>74</v>
      </c>
      <c r="AY528" t="s">
        <v>74</v>
      </c>
      <c r="AZ528" t="s">
        <v>74</v>
      </c>
      <c r="BA528" t="s">
        <v>74</v>
      </c>
      <c r="BB528">
        <v>2834</v>
      </c>
      <c r="BC528">
        <v>2837</v>
      </c>
      <c r="BD528" t="s">
        <v>74</v>
      </c>
      <c r="BE528" t="s">
        <v>74</v>
      </c>
      <c r="BF528" t="s">
        <v>74</v>
      </c>
      <c r="BG528" t="s">
        <v>74</v>
      </c>
      <c r="BH528" t="s">
        <v>74</v>
      </c>
      <c r="BI528">
        <v>4</v>
      </c>
      <c r="BJ528" t="s">
        <v>7655</v>
      </c>
      <c r="BK528" t="s">
        <v>3955</v>
      </c>
      <c r="BL528" t="s">
        <v>7656</v>
      </c>
      <c r="BM528" t="s">
        <v>7657</v>
      </c>
      <c r="BN528" t="s">
        <v>74</v>
      </c>
      <c r="BO528" t="s">
        <v>74</v>
      </c>
      <c r="BP528" t="s">
        <v>74</v>
      </c>
      <c r="BQ528" t="s">
        <v>74</v>
      </c>
      <c r="BR528" t="s">
        <v>99</v>
      </c>
      <c r="BS528" t="s">
        <v>7695</v>
      </c>
      <c r="BT528" t="str">
        <f>HYPERLINK("https%3A%2F%2Fwww.webofscience.com%2Fwos%2Fwoscc%2Ffull-record%2FWOS:000227006900741","View Full Record in Web of Science")</f>
        <v>View Full Record in Web of Science</v>
      </c>
    </row>
    <row r="529" spans="1:72" x14ac:dyDescent="0.15">
      <c r="A529" t="s">
        <v>3934</v>
      </c>
      <c r="B529" t="s">
        <v>7696</v>
      </c>
      <c r="C529" t="s">
        <v>74</v>
      </c>
      <c r="D529" t="s">
        <v>74</v>
      </c>
      <c r="E529" t="s">
        <v>3936</v>
      </c>
      <c r="F529" t="s">
        <v>7696</v>
      </c>
      <c r="G529" t="s">
        <v>74</v>
      </c>
      <c r="H529" t="s">
        <v>74</v>
      </c>
      <c r="I529" t="s">
        <v>7697</v>
      </c>
      <c r="J529" t="s">
        <v>7640</v>
      </c>
      <c r="K529" t="s">
        <v>7641</v>
      </c>
      <c r="L529" t="s">
        <v>74</v>
      </c>
      <c r="M529" t="s">
        <v>77</v>
      </c>
      <c r="N529" t="s">
        <v>3940</v>
      </c>
      <c r="O529" t="s">
        <v>7642</v>
      </c>
      <c r="P529" t="s">
        <v>7643</v>
      </c>
      <c r="Q529" t="s">
        <v>7644</v>
      </c>
      <c r="R529" t="s">
        <v>74</v>
      </c>
      <c r="S529" t="s">
        <v>74</v>
      </c>
      <c r="T529" t="s">
        <v>7698</v>
      </c>
      <c r="U529" t="s">
        <v>7699</v>
      </c>
      <c r="V529" t="s">
        <v>7700</v>
      </c>
      <c r="W529" t="s">
        <v>81</v>
      </c>
      <c r="X529" t="s">
        <v>82</v>
      </c>
      <c r="Y529" t="s">
        <v>7701</v>
      </c>
      <c r="Z529" t="s">
        <v>7702</v>
      </c>
      <c r="AA529" t="s">
        <v>74</v>
      </c>
      <c r="AB529" t="s">
        <v>74</v>
      </c>
      <c r="AC529" t="s">
        <v>74</v>
      </c>
      <c r="AD529" t="s">
        <v>74</v>
      </c>
      <c r="AE529" t="s">
        <v>74</v>
      </c>
      <c r="AF529" t="s">
        <v>74</v>
      </c>
      <c r="AG529">
        <v>13</v>
      </c>
      <c r="AH529">
        <v>1</v>
      </c>
      <c r="AI529">
        <v>2</v>
      </c>
      <c r="AJ529">
        <v>0</v>
      </c>
      <c r="AK529">
        <v>1</v>
      </c>
      <c r="AL529" t="s">
        <v>3948</v>
      </c>
      <c r="AM529" t="s">
        <v>87</v>
      </c>
      <c r="AN529" t="s">
        <v>3949</v>
      </c>
      <c r="AO529" t="s">
        <v>7652</v>
      </c>
      <c r="AP529" t="s">
        <v>74</v>
      </c>
      <c r="AQ529" t="s">
        <v>7653</v>
      </c>
      <c r="AR529" t="s">
        <v>7654</v>
      </c>
      <c r="AS529" t="s">
        <v>74</v>
      </c>
      <c r="AT529" t="s">
        <v>74</v>
      </c>
      <c r="AU529">
        <v>2004</v>
      </c>
      <c r="AV529" t="s">
        <v>74</v>
      </c>
      <c r="AW529" t="s">
        <v>74</v>
      </c>
      <c r="AX529" t="s">
        <v>74</v>
      </c>
      <c r="AY529" t="s">
        <v>74</v>
      </c>
      <c r="AZ529" t="s">
        <v>74</v>
      </c>
      <c r="BA529" t="s">
        <v>74</v>
      </c>
      <c r="BB529">
        <v>3485</v>
      </c>
      <c r="BC529" t="s">
        <v>1135</v>
      </c>
      <c r="BD529" t="s">
        <v>74</v>
      </c>
      <c r="BE529" t="s">
        <v>74</v>
      </c>
      <c r="BF529" t="s">
        <v>74</v>
      </c>
      <c r="BG529" t="s">
        <v>74</v>
      </c>
      <c r="BH529" t="s">
        <v>74</v>
      </c>
      <c r="BI529">
        <v>3</v>
      </c>
      <c r="BJ529" t="s">
        <v>7655</v>
      </c>
      <c r="BK529" t="s">
        <v>3955</v>
      </c>
      <c r="BL529" t="s">
        <v>7656</v>
      </c>
      <c r="BM529" t="s">
        <v>7657</v>
      </c>
      <c r="BN529" t="s">
        <v>74</v>
      </c>
      <c r="BO529" t="s">
        <v>74</v>
      </c>
      <c r="BP529" t="s">
        <v>74</v>
      </c>
      <c r="BQ529" t="s">
        <v>74</v>
      </c>
      <c r="BR529" t="s">
        <v>99</v>
      </c>
      <c r="BS529" t="s">
        <v>7703</v>
      </c>
      <c r="BT529" t="str">
        <f>HYPERLINK("https%3A%2F%2Fwww.webofscience.com%2Fwos%2Fwoscc%2Ffull-record%2FWOS:000227006900915","View Full Record in Web of Science")</f>
        <v>View Full Record in Web of Science</v>
      </c>
    </row>
    <row r="530" spans="1:72" x14ac:dyDescent="0.15">
      <c r="A530" t="s">
        <v>3934</v>
      </c>
      <c r="B530" t="s">
        <v>7704</v>
      </c>
      <c r="C530" t="s">
        <v>74</v>
      </c>
      <c r="D530" t="s">
        <v>7705</v>
      </c>
      <c r="E530" t="s">
        <v>74</v>
      </c>
      <c r="F530" t="s">
        <v>7704</v>
      </c>
      <c r="G530" t="s">
        <v>74</v>
      </c>
      <c r="H530" t="s">
        <v>74</v>
      </c>
      <c r="I530" t="s">
        <v>7706</v>
      </c>
      <c r="J530" t="s">
        <v>7707</v>
      </c>
      <c r="K530" t="s">
        <v>7572</v>
      </c>
      <c r="L530" t="s">
        <v>74</v>
      </c>
      <c r="M530" t="s">
        <v>77</v>
      </c>
      <c r="N530" t="s">
        <v>3940</v>
      </c>
      <c r="O530" t="s">
        <v>7708</v>
      </c>
      <c r="P530" t="s">
        <v>7709</v>
      </c>
      <c r="Q530" t="s">
        <v>7710</v>
      </c>
      <c r="R530" t="s">
        <v>74</v>
      </c>
      <c r="S530" t="s">
        <v>74</v>
      </c>
      <c r="T530" t="s">
        <v>7711</v>
      </c>
      <c r="U530" t="s">
        <v>7712</v>
      </c>
      <c r="V530" t="s">
        <v>7713</v>
      </c>
      <c r="W530" t="s">
        <v>7714</v>
      </c>
      <c r="X530" t="s">
        <v>7715</v>
      </c>
      <c r="Y530" t="s">
        <v>7716</v>
      </c>
      <c r="Z530" t="s">
        <v>74</v>
      </c>
      <c r="AA530" t="s">
        <v>74</v>
      </c>
      <c r="AB530" t="s">
        <v>74</v>
      </c>
      <c r="AC530" t="s">
        <v>74</v>
      </c>
      <c r="AD530" t="s">
        <v>74</v>
      </c>
      <c r="AE530" t="s">
        <v>74</v>
      </c>
      <c r="AF530" t="s">
        <v>74</v>
      </c>
      <c r="AG530">
        <v>29</v>
      </c>
      <c r="AH530">
        <v>7</v>
      </c>
      <c r="AI530">
        <v>8</v>
      </c>
      <c r="AJ530">
        <v>1</v>
      </c>
      <c r="AK530">
        <v>18</v>
      </c>
      <c r="AL530" t="s">
        <v>7542</v>
      </c>
      <c r="AM530" t="s">
        <v>7543</v>
      </c>
      <c r="AN530" t="s">
        <v>7544</v>
      </c>
      <c r="AO530" t="s">
        <v>7545</v>
      </c>
      <c r="AP530" t="s">
        <v>74</v>
      </c>
      <c r="AQ530" t="s">
        <v>7717</v>
      </c>
      <c r="AR530" t="s">
        <v>7577</v>
      </c>
      <c r="AS530" t="s">
        <v>74</v>
      </c>
      <c r="AT530" t="s">
        <v>74</v>
      </c>
      <c r="AU530">
        <v>2004</v>
      </c>
      <c r="AV530">
        <v>5163</v>
      </c>
      <c r="AW530" t="s">
        <v>74</v>
      </c>
      <c r="AX530" t="s">
        <v>74</v>
      </c>
      <c r="AY530" t="s">
        <v>74</v>
      </c>
      <c r="AZ530" t="s">
        <v>74</v>
      </c>
      <c r="BA530" t="s">
        <v>74</v>
      </c>
      <c r="BB530">
        <v>191</v>
      </c>
      <c r="BC530">
        <v>201</v>
      </c>
      <c r="BD530" t="s">
        <v>74</v>
      </c>
      <c r="BE530" t="s">
        <v>7718</v>
      </c>
      <c r="BF530" t="str">
        <f>HYPERLINK("http://dx.doi.org/10.1117/12.513432","http://dx.doi.org/10.1117/12.513432")</f>
        <v>http://dx.doi.org/10.1117/12.513432</v>
      </c>
      <c r="BG530" t="s">
        <v>74</v>
      </c>
      <c r="BH530" t="s">
        <v>74</v>
      </c>
      <c r="BI530">
        <v>11</v>
      </c>
      <c r="BJ530" t="s">
        <v>7567</v>
      </c>
      <c r="BK530" t="s">
        <v>3955</v>
      </c>
      <c r="BL530" t="s">
        <v>7567</v>
      </c>
      <c r="BM530" t="s">
        <v>7719</v>
      </c>
      <c r="BN530" t="s">
        <v>74</v>
      </c>
      <c r="BO530" t="s">
        <v>74</v>
      </c>
      <c r="BP530" t="s">
        <v>74</v>
      </c>
      <c r="BQ530" t="s">
        <v>74</v>
      </c>
      <c r="BR530" t="s">
        <v>99</v>
      </c>
      <c r="BS530" t="s">
        <v>7720</v>
      </c>
      <c r="BT530" t="str">
        <f>HYPERLINK("https%3A%2F%2Fwww.webofscience.com%2Fwos%2Fwoscc%2Ffull-record%2FWOS:000189441600018","View Full Record in Web of Science")</f>
        <v>View Full Record in Web of Science</v>
      </c>
    </row>
    <row r="531" spans="1:72" x14ac:dyDescent="0.15">
      <c r="A531" t="s">
        <v>3934</v>
      </c>
      <c r="B531" t="s">
        <v>7721</v>
      </c>
      <c r="C531" t="s">
        <v>74</v>
      </c>
      <c r="D531" t="s">
        <v>7722</v>
      </c>
      <c r="E531" t="s">
        <v>74</v>
      </c>
      <c r="F531" t="s">
        <v>7721</v>
      </c>
      <c r="G531" t="s">
        <v>74</v>
      </c>
      <c r="H531" t="s">
        <v>74</v>
      </c>
      <c r="I531" t="s">
        <v>7723</v>
      </c>
      <c r="J531" t="s">
        <v>7724</v>
      </c>
      <c r="K531" t="s">
        <v>7572</v>
      </c>
      <c r="L531" t="s">
        <v>74</v>
      </c>
      <c r="M531" t="s">
        <v>77</v>
      </c>
      <c r="N531" t="s">
        <v>3940</v>
      </c>
      <c r="O531" t="s">
        <v>7725</v>
      </c>
      <c r="P531" t="s">
        <v>7726</v>
      </c>
      <c r="Q531" t="s">
        <v>7374</v>
      </c>
      <c r="R531" t="s">
        <v>74</v>
      </c>
      <c r="S531" t="s">
        <v>74</v>
      </c>
      <c r="T531" t="s">
        <v>7727</v>
      </c>
      <c r="U531" t="s">
        <v>7728</v>
      </c>
      <c r="V531" t="s">
        <v>7729</v>
      </c>
      <c r="W531" t="s">
        <v>7730</v>
      </c>
      <c r="X531" t="s">
        <v>7731</v>
      </c>
      <c r="Y531" t="s">
        <v>7732</v>
      </c>
      <c r="Z531" t="s">
        <v>74</v>
      </c>
      <c r="AA531" t="s">
        <v>74</v>
      </c>
      <c r="AB531" t="s">
        <v>7733</v>
      </c>
      <c r="AC531" t="s">
        <v>74</v>
      </c>
      <c r="AD531" t="s">
        <v>74</v>
      </c>
      <c r="AE531" t="s">
        <v>74</v>
      </c>
      <c r="AF531" t="s">
        <v>74</v>
      </c>
      <c r="AG531">
        <v>68</v>
      </c>
      <c r="AH531">
        <v>1</v>
      </c>
      <c r="AI531">
        <v>2</v>
      </c>
      <c r="AJ531">
        <v>3</v>
      </c>
      <c r="AK531">
        <v>31</v>
      </c>
      <c r="AL531" t="s">
        <v>7542</v>
      </c>
      <c r="AM531" t="s">
        <v>7543</v>
      </c>
      <c r="AN531" t="s">
        <v>7544</v>
      </c>
      <c r="AO531" t="s">
        <v>7545</v>
      </c>
      <c r="AP531" t="s">
        <v>74</v>
      </c>
      <c r="AQ531" t="s">
        <v>7734</v>
      </c>
      <c r="AR531" t="s">
        <v>7577</v>
      </c>
      <c r="AS531" t="s">
        <v>74</v>
      </c>
      <c r="AT531" t="s">
        <v>74</v>
      </c>
      <c r="AU531">
        <v>2004</v>
      </c>
      <c r="AV531">
        <v>5555</v>
      </c>
      <c r="AW531" t="s">
        <v>74</v>
      </c>
      <c r="AX531" t="s">
        <v>74</v>
      </c>
      <c r="AY531" t="s">
        <v>74</v>
      </c>
      <c r="AZ531" t="s">
        <v>74</v>
      </c>
      <c r="BA531" t="s">
        <v>74</v>
      </c>
      <c r="BB531">
        <v>78</v>
      </c>
      <c r="BC531">
        <v>92</v>
      </c>
      <c r="BD531" t="s">
        <v>74</v>
      </c>
      <c r="BE531" t="s">
        <v>7735</v>
      </c>
      <c r="BF531" t="str">
        <f>HYPERLINK("http://dx.doi.org/10.1117/12.560356","http://dx.doi.org/10.1117/12.560356")</f>
        <v>http://dx.doi.org/10.1117/12.560356</v>
      </c>
      <c r="BG531" t="s">
        <v>74</v>
      </c>
      <c r="BH531" t="s">
        <v>74</v>
      </c>
      <c r="BI531">
        <v>15</v>
      </c>
      <c r="BJ531" t="s">
        <v>7736</v>
      </c>
      <c r="BK531" t="s">
        <v>3955</v>
      </c>
      <c r="BL531" t="s">
        <v>7737</v>
      </c>
      <c r="BM531" t="s">
        <v>7738</v>
      </c>
      <c r="BN531" t="s">
        <v>74</v>
      </c>
      <c r="BO531" t="s">
        <v>74</v>
      </c>
      <c r="BP531" t="s">
        <v>74</v>
      </c>
      <c r="BQ531" t="s">
        <v>74</v>
      </c>
      <c r="BR531" t="s">
        <v>99</v>
      </c>
      <c r="BS531" t="s">
        <v>7739</v>
      </c>
      <c r="BT531" t="str">
        <f>HYPERLINK("https%3A%2F%2Fwww.webofscience.com%2Fwos%2Fwoscc%2Ffull-record%2FWOS:000225670200008","View Full Record in Web of Science")</f>
        <v>View Full Record in Web of Science</v>
      </c>
    </row>
    <row r="532" spans="1:72" x14ac:dyDescent="0.15">
      <c r="A532" t="s">
        <v>3934</v>
      </c>
      <c r="B532" t="s">
        <v>7740</v>
      </c>
      <c r="C532" t="s">
        <v>74</v>
      </c>
      <c r="D532" t="s">
        <v>7722</v>
      </c>
      <c r="E532" t="s">
        <v>74</v>
      </c>
      <c r="F532" t="s">
        <v>7740</v>
      </c>
      <c r="G532" t="s">
        <v>74</v>
      </c>
      <c r="H532" t="s">
        <v>74</v>
      </c>
      <c r="I532" t="s">
        <v>7741</v>
      </c>
      <c r="J532" t="s">
        <v>7724</v>
      </c>
      <c r="K532" t="s">
        <v>7533</v>
      </c>
      <c r="L532" t="s">
        <v>74</v>
      </c>
      <c r="M532" t="s">
        <v>77</v>
      </c>
      <c r="N532" t="s">
        <v>3940</v>
      </c>
      <c r="O532" t="s">
        <v>7725</v>
      </c>
      <c r="P532" t="s">
        <v>7726</v>
      </c>
      <c r="Q532" t="s">
        <v>7374</v>
      </c>
      <c r="R532" t="s">
        <v>74</v>
      </c>
      <c r="S532" t="s">
        <v>74</v>
      </c>
      <c r="T532" t="s">
        <v>7742</v>
      </c>
      <c r="U532" t="s">
        <v>7743</v>
      </c>
      <c r="V532" t="s">
        <v>7744</v>
      </c>
      <c r="W532" t="s">
        <v>7745</v>
      </c>
      <c r="X532" t="s">
        <v>7715</v>
      </c>
      <c r="Y532" t="s">
        <v>7746</v>
      </c>
      <c r="Z532" t="s">
        <v>7747</v>
      </c>
      <c r="AA532" t="s">
        <v>74</v>
      </c>
      <c r="AB532" t="s">
        <v>74</v>
      </c>
      <c r="AC532" t="s">
        <v>74</v>
      </c>
      <c r="AD532" t="s">
        <v>74</v>
      </c>
      <c r="AE532" t="s">
        <v>74</v>
      </c>
      <c r="AF532" t="s">
        <v>74</v>
      </c>
      <c r="AG532">
        <v>33</v>
      </c>
      <c r="AH532">
        <v>13</v>
      </c>
      <c r="AI532">
        <v>14</v>
      </c>
      <c r="AJ532">
        <v>1</v>
      </c>
      <c r="AK532">
        <v>3</v>
      </c>
      <c r="AL532" t="s">
        <v>7542</v>
      </c>
      <c r="AM532" t="s">
        <v>7543</v>
      </c>
      <c r="AN532" t="s">
        <v>7544</v>
      </c>
      <c r="AO532" t="s">
        <v>7545</v>
      </c>
      <c r="AP532" t="s">
        <v>7546</v>
      </c>
      <c r="AQ532" t="s">
        <v>7734</v>
      </c>
      <c r="AR532" t="s">
        <v>7548</v>
      </c>
      <c r="AS532" t="s">
        <v>74</v>
      </c>
      <c r="AT532" t="s">
        <v>74</v>
      </c>
      <c r="AU532">
        <v>2004</v>
      </c>
      <c r="AV532">
        <v>5555</v>
      </c>
      <c r="AW532" t="s">
        <v>74</v>
      </c>
      <c r="AX532" t="s">
        <v>74</v>
      </c>
      <c r="AY532" t="s">
        <v>74</v>
      </c>
      <c r="AZ532" t="s">
        <v>74</v>
      </c>
      <c r="BA532" t="s">
        <v>74</v>
      </c>
      <c r="BB532">
        <v>93</v>
      </c>
      <c r="BC532">
        <v>106</v>
      </c>
      <c r="BD532" t="s">
        <v>74</v>
      </c>
      <c r="BE532" t="s">
        <v>7748</v>
      </c>
      <c r="BF532" t="str">
        <f>HYPERLINK("http://dx.doi.org/10.1117/12.566496","http://dx.doi.org/10.1117/12.566496")</f>
        <v>http://dx.doi.org/10.1117/12.566496</v>
      </c>
      <c r="BG532" t="s">
        <v>74</v>
      </c>
      <c r="BH532" t="s">
        <v>74</v>
      </c>
      <c r="BI532">
        <v>14</v>
      </c>
      <c r="BJ532" t="s">
        <v>7736</v>
      </c>
      <c r="BK532" t="s">
        <v>3955</v>
      </c>
      <c r="BL532" t="s">
        <v>7737</v>
      </c>
      <c r="BM532" t="s">
        <v>7738</v>
      </c>
      <c r="BN532" t="s">
        <v>74</v>
      </c>
      <c r="BO532" t="s">
        <v>74</v>
      </c>
      <c r="BP532" t="s">
        <v>74</v>
      </c>
      <c r="BQ532" t="s">
        <v>74</v>
      </c>
      <c r="BR532" t="s">
        <v>99</v>
      </c>
      <c r="BS532" t="s">
        <v>7749</v>
      </c>
      <c r="BT532" t="str">
        <f>HYPERLINK("https%3A%2F%2Fwww.webofscience.com%2Fwos%2Fwoscc%2Ffull-record%2FWOS:000225670200009","View Full Record in Web of Science")</f>
        <v>View Full Record in Web of Science</v>
      </c>
    </row>
    <row r="533" spans="1:72" x14ac:dyDescent="0.15">
      <c r="A533" t="s">
        <v>3934</v>
      </c>
      <c r="B533" t="s">
        <v>7750</v>
      </c>
      <c r="C533" t="s">
        <v>74</v>
      </c>
      <c r="D533" t="s">
        <v>7722</v>
      </c>
      <c r="E533" t="s">
        <v>74</v>
      </c>
      <c r="F533" t="s">
        <v>7750</v>
      </c>
      <c r="G533" t="s">
        <v>74</v>
      </c>
      <c r="H533" t="s">
        <v>74</v>
      </c>
      <c r="I533" t="s">
        <v>7751</v>
      </c>
      <c r="J533" t="s">
        <v>7724</v>
      </c>
      <c r="K533" t="s">
        <v>7533</v>
      </c>
      <c r="L533" t="s">
        <v>74</v>
      </c>
      <c r="M533" t="s">
        <v>77</v>
      </c>
      <c r="N533" t="s">
        <v>3940</v>
      </c>
      <c r="O533" t="s">
        <v>7725</v>
      </c>
      <c r="P533" t="s">
        <v>7726</v>
      </c>
      <c r="Q533" t="s">
        <v>7374</v>
      </c>
      <c r="R533" t="s">
        <v>74</v>
      </c>
      <c r="S533" t="s">
        <v>74</v>
      </c>
      <c r="T533" t="s">
        <v>7752</v>
      </c>
      <c r="U533" t="s">
        <v>7753</v>
      </c>
      <c r="V533" t="s">
        <v>7754</v>
      </c>
      <c r="W533" t="s">
        <v>7755</v>
      </c>
      <c r="X533" t="s">
        <v>2758</v>
      </c>
      <c r="Y533" t="s">
        <v>7756</v>
      </c>
      <c r="Z533" t="s">
        <v>7757</v>
      </c>
      <c r="AA533" t="s">
        <v>74</v>
      </c>
      <c r="AB533" t="s">
        <v>74</v>
      </c>
      <c r="AC533" t="s">
        <v>74</v>
      </c>
      <c r="AD533" t="s">
        <v>74</v>
      </c>
      <c r="AE533" t="s">
        <v>74</v>
      </c>
      <c r="AF533" t="s">
        <v>74</v>
      </c>
      <c r="AG533">
        <v>24</v>
      </c>
      <c r="AH533">
        <v>3</v>
      </c>
      <c r="AI533">
        <v>3</v>
      </c>
      <c r="AJ533">
        <v>1</v>
      </c>
      <c r="AK533">
        <v>5</v>
      </c>
      <c r="AL533" t="s">
        <v>7542</v>
      </c>
      <c r="AM533" t="s">
        <v>7543</v>
      </c>
      <c r="AN533" t="s">
        <v>7544</v>
      </c>
      <c r="AO533" t="s">
        <v>7545</v>
      </c>
      <c r="AP533" t="s">
        <v>7546</v>
      </c>
      <c r="AQ533" t="s">
        <v>7734</v>
      </c>
      <c r="AR533" t="s">
        <v>7548</v>
      </c>
      <c r="AS533" t="s">
        <v>74</v>
      </c>
      <c r="AT533" t="s">
        <v>74</v>
      </c>
      <c r="AU533">
        <v>2004</v>
      </c>
      <c r="AV533">
        <v>5555</v>
      </c>
      <c r="AW533" t="s">
        <v>74</v>
      </c>
      <c r="AX533" t="s">
        <v>74</v>
      </c>
      <c r="AY533" t="s">
        <v>74</v>
      </c>
      <c r="AZ533" t="s">
        <v>74</v>
      </c>
      <c r="BA533" t="s">
        <v>74</v>
      </c>
      <c r="BB533">
        <v>170</v>
      </c>
      <c r="BC533">
        <v>179</v>
      </c>
      <c r="BD533" t="s">
        <v>74</v>
      </c>
      <c r="BE533" t="s">
        <v>7758</v>
      </c>
      <c r="BF533" t="str">
        <f>HYPERLINK("http://dx.doi.org/10.1117/12.564554","http://dx.doi.org/10.1117/12.564554")</f>
        <v>http://dx.doi.org/10.1117/12.564554</v>
      </c>
      <c r="BG533" t="s">
        <v>74</v>
      </c>
      <c r="BH533" t="s">
        <v>74</v>
      </c>
      <c r="BI533">
        <v>10</v>
      </c>
      <c r="BJ533" t="s">
        <v>7736</v>
      </c>
      <c r="BK533" t="s">
        <v>3955</v>
      </c>
      <c r="BL533" t="s">
        <v>7737</v>
      </c>
      <c r="BM533" t="s">
        <v>7738</v>
      </c>
      <c r="BN533" t="s">
        <v>74</v>
      </c>
      <c r="BO533" t="s">
        <v>74</v>
      </c>
      <c r="BP533" t="s">
        <v>74</v>
      </c>
      <c r="BQ533" t="s">
        <v>74</v>
      </c>
      <c r="BR533" t="s">
        <v>99</v>
      </c>
      <c r="BS533" t="s">
        <v>7759</v>
      </c>
      <c r="BT533" t="str">
        <f>HYPERLINK("https%3A%2F%2Fwww.webofscience.com%2Fwos%2Fwoscc%2Ffull-record%2FWOS:000225670200016","View Full Record in Web of Science")</f>
        <v>View Full Record in Web of Science</v>
      </c>
    </row>
    <row r="534" spans="1:72" x14ac:dyDescent="0.15">
      <c r="A534" t="s">
        <v>72</v>
      </c>
      <c r="B534" t="s">
        <v>1497</v>
      </c>
      <c r="C534" t="s">
        <v>74</v>
      </c>
      <c r="D534" t="s">
        <v>74</v>
      </c>
      <c r="E534" t="s">
        <v>74</v>
      </c>
      <c r="F534" t="s">
        <v>1497</v>
      </c>
      <c r="G534" t="s">
        <v>74</v>
      </c>
      <c r="H534" t="s">
        <v>74</v>
      </c>
      <c r="I534" t="s">
        <v>7760</v>
      </c>
      <c r="J534" t="s">
        <v>7761</v>
      </c>
      <c r="K534" t="s">
        <v>74</v>
      </c>
      <c r="L534" t="s">
        <v>74</v>
      </c>
      <c r="M534" t="s">
        <v>77</v>
      </c>
      <c r="N534" t="s">
        <v>78</v>
      </c>
      <c r="O534" t="s">
        <v>74</v>
      </c>
      <c r="P534" t="s">
        <v>74</v>
      </c>
      <c r="Q534" t="s">
        <v>74</v>
      </c>
      <c r="R534" t="s">
        <v>74</v>
      </c>
      <c r="S534" t="s">
        <v>74</v>
      </c>
      <c r="T534" t="s">
        <v>74</v>
      </c>
      <c r="U534" t="s">
        <v>7762</v>
      </c>
      <c r="V534" t="s">
        <v>7763</v>
      </c>
      <c r="W534" t="s">
        <v>647</v>
      </c>
      <c r="X534" t="s">
        <v>82</v>
      </c>
      <c r="Y534" t="s">
        <v>7764</v>
      </c>
      <c r="Z534" t="s">
        <v>7765</v>
      </c>
      <c r="AA534" t="s">
        <v>74</v>
      </c>
      <c r="AB534" t="s">
        <v>74</v>
      </c>
      <c r="AC534" t="s">
        <v>7766</v>
      </c>
      <c r="AD534" t="s">
        <v>4641</v>
      </c>
      <c r="AE534" t="s">
        <v>74</v>
      </c>
      <c r="AF534" t="s">
        <v>74</v>
      </c>
      <c r="AG534">
        <v>23</v>
      </c>
      <c r="AH534">
        <v>0</v>
      </c>
      <c r="AI534">
        <v>0</v>
      </c>
      <c r="AJ534">
        <v>0</v>
      </c>
      <c r="AK534">
        <v>4</v>
      </c>
      <c r="AL534" t="s">
        <v>7767</v>
      </c>
      <c r="AM534" t="s">
        <v>2643</v>
      </c>
      <c r="AN534" t="s">
        <v>7768</v>
      </c>
      <c r="AO534" t="s">
        <v>7769</v>
      </c>
      <c r="AP534" t="s">
        <v>7770</v>
      </c>
      <c r="AQ534" t="s">
        <v>74</v>
      </c>
      <c r="AR534" t="s">
        <v>7771</v>
      </c>
      <c r="AS534" t="s">
        <v>7772</v>
      </c>
      <c r="AT534" t="s">
        <v>74</v>
      </c>
      <c r="AU534">
        <v>2004</v>
      </c>
      <c r="AV534">
        <v>29</v>
      </c>
      <c r="AW534">
        <v>4</v>
      </c>
      <c r="AX534" t="s">
        <v>74</v>
      </c>
      <c r="AY534" t="s">
        <v>74</v>
      </c>
      <c r="AZ534" t="s">
        <v>74</v>
      </c>
      <c r="BA534" t="s">
        <v>74</v>
      </c>
      <c r="BB534">
        <v>395</v>
      </c>
      <c r="BC534">
        <v>407</v>
      </c>
      <c r="BD534" t="s">
        <v>74</v>
      </c>
      <c r="BE534" t="s">
        <v>7773</v>
      </c>
      <c r="BF534" t="str">
        <f>HYPERLINK("http://dx.doi.org/10.1179/030801804225018918","http://dx.doi.org/10.1179/030801804225018918")</f>
        <v>http://dx.doi.org/10.1179/030801804225018918</v>
      </c>
      <c r="BG534" t="s">
        <v>74</v>
      </c>
      <c r="BH534" t="s">
        <v>74</v>
      </c>
      <c r="BI534">
        <v>13</v>
      </c>
      <c r="BJ534" t="s">
        <v>7774</v>
      </c>
      <c r="BK534" t="s">
        <v>7775</v>
      </c>
      <c r="BL534" t="s">
        <v>7776</v>
      </c>
      <c r="BM534" t="s">
        <v>7777</v>
      </c>
      <c r="BN534" t="s">
        <v>74</v>
      </c>
      <c r="BO534" t="s">
        <v>74</v>
      </c>
      <c r="BP534" t="s">
        <v>74</v>
      </c>
      <c r="BQ534" t="s">
        <v>74</v>
      </c>
      <c r="BR534" t="s">
        <v>99</v>
      </c>
      <c r="BS534" t="s">
        <v>7778</v>
      </c>
      <c r="BT534" t="str">
        <f>HYPERLINK("https%3A%2F%2Fwww.webofscience.com%2Fwos%2Fwoscc%2Ffull-record%2FWOS:000226182700007","View Full Record in Web of Science")</f>
        <v>View Full Record in Web of Science</v>
      </c>
    </row>
    <row r="535" spans="1:72" x14ac:dyDescent="0.15">
      <c r="A535" t="s">
        <v>72</v>
      </c>
      <c r="B535" t="s">
        <v>7779</v>
      </c>
      <c r="C535" t="s">
        <v>74</v>
      </c>
      <c r="D535" t="s">
        <v>74</v>
      </c>
      <c r="E535" t="s">
        <v>74</v>
      </c>
      <c r="F535" t="s">
        <v>7779</v>
      </c>
      <c r="G535" t="s">
        <v>74</v>
      </c>
      <c r="H535" t="s">
        <v>74</v>
      </c>
      <c r="I535" t="s">
        <v>7780</v>
      </c>
      <c r="J535" t="s">
        <v>7781</v>
      </c>
      <c r="K535" t="s">
        <v>74</v>
      </c>
      <c r="L535" t="s">
        <v>74</v>
      </c>
      <c r="M535" t="s">
        <v>77</v>
      </c>
      <c r="N535" t="s">
        <v>268</v>
      </c>
      <c r="O535" t="s">
        <v>74</v>
      </c>
      <c r="P535" t="s">
        <v>74</v>
      </c>
      <c r="Q535" t="s">
        <v>74</v>
      </c>
      <c r="R535" t="s">
        <v>74</v>
      </c>
      <c r="S535" t="s">
        <v>74</v>
      </c>
      <c r="T535" t="s">
        <v>7782</v>
      </c>
      <c r="U535" t="s">
        <v>7783</v>
      </c>
      <c r="V535" t="s">
        <v>7784</v>
      </c>
      <c r="W535" t="s">
        <v>6427</v>
      </c>
      <c r="X535" t="s">
        <v>82</v>
      </c>
      <c r="Y535" t="s">
        <v>7785</v>
      </c>
      <c r="Z535" t="s">
        <v>7786</v>
      </c>
      <c r="AA535" t="s">
        <v>74</v>
      </c>
      <c r="AB535" t="s">
        <v>7787</v>
      </c>
      <c r="AC535" t="s">
        <v>74</v>
      </c>
      <c r="AD535" t="s">
        <v>74</v>
      </c>
      <c r="AE535" t="s">
        <v>74</v>
      </c>
      <c r="AF535" t="s">
        <v>74</v>
      </c>
      <c r="AG535">
        <v>106</v>
      </c>
      <c r="AH535">
        <v>356</v>
      </c>
      <c r="AI535">
        <v>400</v>
      </c>
      <c r="AJ535">
        <v>6</v>
      </c>
      <c r="AK535">
        <v>92</v>
      </c>
      <c r="AL535" t="s">
        <v>2386</v>
      </c>
      <c r="AM535" t="s">
        <v>2387</v>
      </c>
      <c r="AN535" t="s">
        <v>2388</v>
      </c>
      <c r="AO535" t="s">
        <v>7788</v>
      </c>
      <c r="AP535" t="s">
        <v>74</v>
      </c>
      <c r="AQ535" t="s">
        <v>74</v>
      </c>
      <c r="AR535" t="s">
        <v>7789</v>
      </c>
      <c r="AS535" t="s">
        <v>7790</v>
      </c>
      <c r="AT535" t="s">
        <v>4117</v>
      </c>
      <c r="AU535">
        <v>2004</v>
      </c>
      <c r="AV535">
        <v>24</v>
      </c>
      <c r="AW535">
        <v>1</v>
      </c>
      <c r="AX535" t="s">
        <v>74</v>
      </c>
      <c r="AY535" t="s">
        <v>74</v>
      </c>
      <c r="AZ535" t="s">
        <v>74</v>
      </c>
      <c r="BA535" t="s">
        <v>74</v>
      </c>
      <c r="BB535">
        <v>1</v>
      </c>
      <c r="BC535">
        <v>31</v>
      </c>
      <c r="BD535" t="s">
        <v>74</v>
      </c>
      <c r="BE535" t="s">
        <v>7791</v>
      </c>
      <c r="BF535" t="str">
        <f>HYPERLINK("http://dx.doi.org/10.1002/joc.965","http://dx.doi.org/10.1002/joc.965")</f>
        <v>http://dx.doi.org/10.1002/joc.965</v>
      </c>
      <c r="BG535" t="s">
        <v>74</v>
      </c>
      <c r="BH535" t="s">
        <v>74</v>
      </c>
      <c r="BI535">
        <v>31</v>
      </c>
      <c r="BJ535" t="s">
        <v>186</v>
      </c>
      <c r="BK535" t="s">
        <v>96</v>
      </c>
      <c r="BL535" t="s">
        <v>186</v>
      </c>
      <c r="BM535" t="s">
        <v>7792</v>
      </c>
      <c r="BN535" t="s">
        <v>74</v>
      </c>
      <c r="BO535" t="s">
        <v>74</v>
      </c>
      <c r="BP535" t="s">
        <v>74</v>
      </c>
      <c r="BQ535" t="s">
        <v>74</v>
      </c>
      <c r="BR535" t="s">
        <v>99</v>
      </c>
      <c r="BS535" t="s">
        <v>7793</v>
      </c>
      <c r="BT535" t="str">
        <f>HYPERLINK("https%3A%2F%2Fwww.webofscience.com%2Fwos%2Fwoscc%2Ffull-record%2FWOS:000188737200001","View Full Record in Web of Science")</f>
        <v>View Full Record in Web of Science</v>
      </c>
    </row>
    <row r="536" spans="1:72" x14ac:dyDescent="0.15">
      <c r="A536" t="s">
        <v>72</v>
      </c>
      <c r="B536" t="s">
        <v>7794</v>
      </c>
      <c r="C536" t="s">
        <v>74</v>
      </c>
      <c r="D536" t="s">
        <v>74</v>
      </c>
      <c r="E536" t="s">
        <v>74</v>
      </c>
      <c r="F536" t="s">
        <v>7794</v>
      </c>
      <c r="G536" t="s">
        <v>74</v>
      </c>
      <c r="H536" t="s">
        <v>74</v>
      </c>
      <c r="I536" t="s">
        <v>7795</v>
      </c>
      <c r="J536" t="s">
        <v>7796</v>
      </c>
      <c r="K536" t="s">
        <v>74</v>
      </c>
      <c r="L536" t="s">
        <v>74</v>
      </c>
      <c r="M536" t="s">
        <v>77</v>
      </c>
      <c r="N536" t="s">
        <v>78</v>
      </c>
      <c r="O536" t="s">
        <v>74</v>
      </c>
      <c r="P536" t="s">
        <v>74</v>
      </c>
      <c r="Q536" t="s">
        <v>74</v>
      </c>
      <c r="R536" t="s">
        <v>74</v>
      </c>
      <c r="S536" t="s">
        <v>74</v>
      </c>
      <c r="T536" t="s">
        <v>7797</v>
      </c>
      <c r="U536" t="s">
        <v>7798</v>
      </c>
      <c r="V536" t="s">
        <v>7799</v>
      </c>
      <c r="W536" t="s">
        <v>7800</v>
      </c>
      <c r="X536" t="s">
        <v>7801</v>
      </c>
      <c r="Y536" t="s">
        <v>7802</v>
      </c>
      <c r="Z536" t="s">
        <v>7803</v>
      </c>
      <c r="AA536" t="s">
        <v>7804</v>
      </c>
      <c r="AB536" t="s">
        <v>7805</v>
      </c>
      <c r="AC536" t="s">
        <v>74</v>
      </c>
      <c r="AD536" t="s">
        <v>74</v>
      </c>
      <c r="AE536" t="s">
        <v>74</v>
      </c>
      <c r="AF536" t="s">
        <v>74</v>
      </c>
      <c r="AG536">
        <v>46</v>
      </c>
      <c r="AH536">
        <v>14</v>
      </c>
      <c r="AI536">
        <v>16</v>
      </c>
      <c r="AJ536">
        <v>1</v>
      </c>
      <c r="AK536">
        <v>12</v>
      </c>
      <c r="AL536" t="s">
        <v>7806</v>
      </c>
      <c r="AM536" t="s">
        <v>7807</v>
      </c>
      <c r="AN536" t="s">
        <v>7808</v>
      </c>
      <c r="AO536" t="s">
        <v>7809</v>
      </c>
      <c r="AP536" t="s">
        <v>74</v>
      </c>
      <c r="AQ536" t="s">
        <v>74</v>
      </c>
      <c r="AR536" t="s">
        <v>7810</v>
      </c>
      <c r="AS536" t="s">
        <v>7811</v>
      </c>
      <c r="AT536" t="s">
        <v>74</v>
      </c>
      <c r="AU536">
        <v>2004</v>
      </c>
      <c r="AV536">
        <v>22</v>
      </c>
      <c r="AW536">
        <v>6</v>
      </c>
      <c r="AX536" t="s">
        <v>74</v>
      </c>
      <c r="AY536" t="s">
        <v>74</v>
      </c>
      <c r="AZ536" t="s">
        <v>74</v>
      </c>
      <c r="BA536" t="s">
        <v>74</v>
      </c>
      <c r="BB536">
        <v>641</v>
      </c>
      <c r="BC536">
        <v>656</v>
      </c>
      <c r="BD536" t="s">
        <v>74</v>
      </c>
      <c r="BE536" t="s">
        <v>7812</v>
      </c>
      <c r="BF536" t="str">
        <f>HYPERLINK("http://dx.doi.org/10.1504/IJEP.2004.006044","http://dx.doi.org/10.1504/IJEP.2004.006044")</f>
        <v>http://dx.doi.org/10.1504/IJEP.2004.006044</v>
      </c>
      <c r="BG536" t="s">
        <v>74</v>
      </c>
      <c r="BH536" t="s">
        <v>74</v>
      </c>
      <c r="BI536">
        <v>16</v>
      </c>
      <c r="BJ536" t="s">
        <v>1154</v>
      </c>
      <c r="BK536" t="s">
        <v>96</v>
      </c>
      <c r="BL536" t="s">
        <v>144</v>
      </c>
      <c r="BM536" t="s">
        <v>7813</v>
      </c>
      <c r="BN536" t="s">
        <v>74</v>
      </c>
      <c r="BO536" t="s">
        <v>74</v>
      </c>
      <c r="BP536" t="s">
        <v>74</v>
      </c>
      <c r="BQ536" t="s">
        <v>74</v>
      </c>
      <c r="BR536" t="s">
        <v>99</v>
      </c>
      <c r="BS536" t="s">
        <v>7814</v>
      </c>
      <c r="BT536" t="str">
        <f>HYPERLINK("https%3A%2F%2Fwww.webofscience.com%2Fwos%2Fwoscc%2Ffull-record%2FWOS:000226696200001","View Full Record in Web of Science")</f>
        <v>View Full Record in Web of Science</v>
      </c>
    </row>
    <row r="537" spans="1:72" x14ac:dyDescent="0.15">
      <c r="A537" t="s">
        <v>72</v>
      </c>
      <c r="B537" t="s">
        <v>7815</v>
      </c>
      <c r="C537" t="s">
        <v>74</v>
      </c>
      <c r="D537" t="s">
        <v>74</v>
      </c>
      <c r="E537" t="s">
        <v>74</v>
      </c>
      <c r="F537" t="s">
        <v>7815</v>
      </c>
      <c r="G537" t="s">
        <v>74</v>
      </c>
      <c r="H537" t="s">
        <v>74</v>
      </c>
      <c r="I537" t="s">
        <v>7816</v>
      </c>
      <c r="J537" t="s">
        <v>1479</v>
      </c>
      <c r="K537" t="s">
        <v>74</v>
      </c>
      <c r="L537" t="s">
        <v>74</v>
      </c>
      <c r="M537" t="s">
        <v>77</v>
      </c>
      <c r="N537" t="s">
        <v>78</v>
      </c>
      <c r="O537" t="s">
        <v>74</v>
      </c>
      <c r="P537" t="s">
        <v>74</v>
      </c>
      <c r="Q537" t="s">
        <v>74</v>
      </c>
      <c r="R537" t="s">
        <v>74</v>
      </c>
      <c r="S537" t="s">
        <v>74</v>
      </c>
      <c r="T537" t="s">
        <v>74</v>
      </c>
      <c r="U537" t="s">
        <v>7817</v>
      </c>
      <c r="V537" t="s">
        <v>7818</v>
      </c>
      <c r="W537" t="s">
        <v>7819</v>
      </c>
      <c r="X537" t="s">
        <v>6349</v>
      </c>
      <c r="Y537" t="s">
        <v>7820</v>
      </c>
      <c r="Z537" t="s">
        <v>7821</v>
      </c>
      <c r="AA537" t="s">
        <v>7822</v>
      </c>
      <c r="AB537" t="s">
        <v>7823</v>
      </c>
      <c r="AC537" t="s">
        <v>74</v>
      </c>
      <c r="AD537" t="s">
        <v>74</v>
      </c>
      <c r="AE537" t="s">
        <v>74</v>
      </c>
      <c r="AF537" t="s">
        <v>74</v>
      </c>
      <c r="AG537">
        <v>31</v>
      </c>
      <c r="AH537">
        <v>74</v>
      </c>
      <c r="AI537">
        <v>78</v>
      </c>
      <c r="AJ537">
        <v>0</v>
      </c>
      <c r="AK537">
        <v>8</v>
      </c>
      <c r="AL537" t="s">
        <v>7824</v>
      </c>
      <c r="AM537" t="s">
        <v>1417</v>
      </c>
      <c r="AN537" t="s">
        <v>7825</v>
      </c>
      <c r="AO537" t="s">
        <v>1491</v>
      </c>
      <c r="AP537" t="s">
        <v>7826</v>
      </c>
      <c r="AQ537" t="s">
        <v>74</v>
      </c>
      <c r="AR537" t="s">
        <v>1492</v>
      </c>
      <c r="AS537" t="s">
        <v>1493</v>
      </c>
      <c r="AT537" t="s">
        <v>4117</v>
      </c>
      <c r="AU537">
        <v>2004</v>
      </c>
      <c r="AV537">
        <v>54</v>
      </c>
      <c r="AW537" t="s">
        <v>74</v>
      </c>
      <c r="AX537">
        <v>1</v>
      </c>
      <c r="AY537" t="s">
        <v>74</v>
      </c>
      <c r="AZ537" t="s">
        <v>74</v>
      </c>
      <c r="BA537" t="s">
        <v>74</v>
      </c>
      <c r="BB537">
        <v>85</v>
      </c>
      <c r="BC537">
        <v>92</v>
      </c>
      <c r="BD537" t="s">
        <v>74</v>
      </c>
      <c r="BE537" t="s">
        <v>7827</v>
      </c>
      <c r="BF537" t="str">
        <f>HYPERLINK("http://dx.doi.org/10.1099/ijs.0.02857-0","http://dx.doi.org/10.1099/ijs.0.02857-0")</f>
        <v>http://dx.doi.org/10.1099/ijs.0.02857-0</v>
      </c>
      <c r="BG537" t="s">
        <v>74</v>
      </c>
      <c r="BH537" t="s">
        <v>74</v>
      </c>
      <c r="BI537">
        <v>8</v>
      </c>
      <c r="BJ537" t="s">
        <v>743</v>
      </c>
      <c r="BK537" t="s">
        <v>96</v>
      </c>
      <c r="BL537" t="s">
        <v>743</v>
      </c>
      <c r="BM537" t="s">
        <v>7828</v>
      </c>
      <c r="BN537">
        <v>14742463</v>
      </c>
      <c r="BO537" t="s">
        <v>541</v>
      </c>
      <c r="BP537" t="s">
        <v>74</v>
      </c>
      <c r="BQ537" t="s">
        <v>74</v>
      </c>
      <c r="BR537" t="s">
        <v>99</v>
      </c>
      <c r="BS537" t="s">
        <v>7829</v>
      </c>
      <c r="BT537" t="str">
        <f>HYPERLINK("https%3A%2F%2Fwww.webofscience.com%2Fwos%2Fwoscc%2Ffull-record%2FWOS:000189154700011","View Full Record in Web of Science")</f>
        <v>View Full Record in Web of Science</v>
      </c>
    </row>
    <row r="538" spans="1:72" x14ac:dyDescent="0.15">
      <c r="A538" t="s">
        <v>497</v>
      </c>
      <c r="B538" t="s">
        <v>7830</v>
      </c>
      <c r="C538" t="s">
        <v>74</v>
      </c>
      <c r="D538" t="s">
        <v>7831</v>
      </c>
      <c r="E538" t="s">
        <v>74</v>
      </c>
      <c r="F538" t="s">
        <v>7830</v>
      </c>
      <c r="G538" t="s">
        <v>74</v>
      </c>
      <c r="H538" t="s">
        <v>74</v>
      </c>
      <c r="I538" t="s">
        <v>7832</v>
      </c>
      <c r="J538" t="s">
        <v>7833</v>
      </c>
      <c r="K538" t="s">
        <v>7834</v>
      </c>
      <c r="L538" t="s">
        <v>74</v>
      </c>
      <c r="M538" t="s">
        <v>77</v>
      </c>
      <c r="N538" t="s">
        <v>311</v>
      </c>
      <c r="O538" t="s">
        <v>7835</v>
      </c>
      <c r="P538" t="s">
        <v>7836</v>
      </c>
      <c r="Q538" t="s">
        <v>7837</v>
      </c>
      <c r="R538" t="s">
        <v>74</v>
      </c>
      <c r="S538" t="s">
        <v>7838</v>
      </c>
      <c r="T538" t="s">
        <v>7839</v>
      </c>
      <c r="U538" t="s">
        <v>7840</v>
      </c>
      <c r="V538" t="s">
        <v>7841</v>
      </c>
      <c r="W538" t="s">
        <v>7842</v>
      </c>
      <c r="X538" t="s">
        <v>7843</v>
      </c>
      <c r="Y538" t="s">
        <v>7844</v>
      </c>
      <c r="Z538" t="s">
        <v>7845</v>
      </c>
      <c r="AA538" t="s">
        <v>7846</v>
      </c>
      <c r="AB538" t="s">
        <v>7847</v>
      </c>
      <c r="AC538" t="s">
        <v>74</v>
      </c>
      <c r="AD538" t="s">
        <v>74</v>
      </c>
      <c r="AE538" t="s">
        <v>74</v>
      </c>
      <c r="AF538" t="s">
        <v>74</v>
      </c>
      <c r="AG538">
        <v>17</v>
      </c>
      <c r="AH538">
        <v>9</v>
      </c>
      <c r="AI538">
        <v>9</v>
      </c>
      <c r="AJ538">
        <v>1</v>
      </c>
      <c r="AK538">
        <v>4</v>
      </c>
      <c r="AL538" t="s">
        <v>213</v>
      </c>
      <c r="AM538" t="s">
        <v>5925</v>
      </c>
      <c r="AN538" t="s">
        <v>5926</v>
      </c>
      <c r="AO538" t="s">
        <v>5927</v>
      </c>
      <c r="AP538" t="s">
        <v>74</v>
      </c>
      <c r="AQ538" t="s">
        <v>74</v>
      </c>
      <c r="AR538" t="s">
        <v>7848</v>
      </c>
      <c r="AS538" t="s">
        <v>74</v>
      </c>
      <c r="AT538" t="s">
        <v>74</v>
      </c>
      <c r="AU538">
        <v>2004</v>
      </c>
      <c r="AV538">
        <v>34</v>
      </c>
      <c r="AW538">
        <v>9</v>
      </c>
      <c r="AX538" t="s">
        <v>74</v>
      </c>
      <c r="AY538" t="s">
        <v>74</v>
      </c>
      <c r="AZ538" t="s">
        <v>74</v>
      </c>
      <c r="BA538" t="s">
        <v>74</v>
      </c>
      <c r="BB538">
        <v>1907</v>
      </c>
      <c r="BC538">
        <v>1913</v>
      </c>
      <c r="BD538" t="s">
        <v>74</v>
      </c>
      <c r="BE538" t="s">
        <v>7849</v>
      </c>
      <c r="BF538" t="str">
        <f>HYPERLINK("http://dx.doi.org/10.1016/j.asr.2004.06.013","http://dx.doi.org/10.1016/j.asr.2004.06.013")</f>
        <v>http://dx.doi.org/10.1016/j.asr.2004.06.013</v>
      </c>
      <c r="BG538" t="s">
        <v>74</v>
      </c>
      <c r="BH538" t="s">
        <v>74</v>
      </c>
      <c r="BI538">
        <v>7</v>
      </c>
      <c r="BJ538" t="s">
        <v>7850</v>
      </c>
      <c r="BK538" t="s">
        <v>1116</v>
      </c>
      <c r="BL538" t="s">
        <v>7851</v>
      </c>
      <c r="BM538" t="s">
        <v>7852</v>
      </c>
      <c r="BN538" t="s">
        <v>74</v>
      </c>
      <c r="BO538" t="s">
        <v>479</v>
      </c>
      <c r="BP538" t="s">
        <v>74</v>
      </c>
      <c r="BQ538" t="s">
        <v>74</v>
      </c>
      <c r="BR538" t="s">
        <v>99</v>
      </c>
      <c r="BS538" t="s">
        <v>7853</v>
      </c>
      <c r="BT538" t="str">
        <f>HYPERLINK("https%3A%2F%2Fwww.webofscience.com%2Fwos%2Fwoscc%2Ffull-record%2FWOS:000226373800009","View Full Record in Web of Science")</f>
        <v>View Full Record in Web of Science</v>
      </c>
    </row>
    <row r="539" spans="1:72" x14ac:dyDescent="0.15">
      <c r="A539" t="s">
        <v>3934</v>
      </c>
      <c r="B539" t="s">
        <v>7854</v>
      </c>
      <c r="C539" t="s">
        <v>74</v>
      </c>
      <c r="D539" t="s">
        <v>7855</v>
      </c>
      <c r="E539" t="s">
        <v>74</v>
      </c>
      <c r="F539" t="s">
        <v>7854</v>
      </c>
      <c r="G539" t="s">
        <v>74</v>
      </c>
      <c r="H539" t="s">
        <v>74</v>
      </c>
      <c r="I539" t="s">
        <v>7856</v>
      </c>
      <c r="J539" t="s">
        <v>7857</v>
      </c>
      <c r="K539" t="s">
        <v>7858</v>
      </c>
      <c r="L539" t="s">
        <v>74</v>
      </c>
      <c r="M539" t="s">
        <v>77</v>
      </c>
      <c r="N539" t="s">
        <v>3940</v>
      </c>
      <c r="O539" t="s">
        <v>7859</v>
      </c>
      <c r="P539" t="s">
        <v>7860</v>
      </c>
      <c r="Q539" t="s">
        <v>7861</v>
      </c>
      <c r="R539" t="s">
        <v>74</v>
      </c>
      <c r="S539" t="s">
        <v>74</v>
      </c>
      <c r="T539" t="s">
        <v>7862</v>
      </c>
      <c r="U539" t="s">
        <v>74</v>
      </c>
      <c r="V539" t="s">
        <v>7863</v>
      </c>
      <c r="W539" t="s">
        <v>1911</v>
      </c>
      <c r="X539" t="s">
        <v>1912</v>
      </c>
      <c r="Y539" t="s">
        <v>7864</v>
      </c>
      <c r="Z539" t="s">
        <v>7865</v>
      </c>
      <c r="AA539" t="s">
        <v>74</v>
      </c>
      <c r="AB539" t="s">
        <v>74</v>
      </c>
      <c r="AC539" t="s">
        <v>74</v>
      </c>
      <c r="AD539" t="s">
        <v>74</v>
      </c>
      <c r="AE539" t="s">
        <v>74</v>
      </c>
      <c r="AF539" t="s">
        <v>74</v>
      </c>
      <c r="AG539">
        <v>25</v>
      </c>
      <c r="AH539">
        <v>3</v>
      </c>
      <c r="AI539">
        <v>3</v>
      </c>
      <c r="AJ539">
        <v>0</v>
      </c>
      <c r="AK539">
        <v>0</v>
      </c>
      <c r="AL539" t="s">
        <v>86</v>
      </c>
      <c r="AM539" t="s">
        <v>3376</v>
      </c>
      <c r="AN539" t="s">
        <v>7631</v>
      </c>
      <c r="AO539" t="s">
        <v>7866</v>
      </c>
      <c r="AP539" t="s">
        <v>74</v>
      </c>
      <c r="AQ539" t="s">
        <v>7867</v>
      </c>
      <c r="AR539" t="s">
        <v>7868</v>
      </c>
      <c r="AS539" t="s">
        <v>7869</v>
      </c>
      <c r="AT539" t="s">
        <v>74</v>
      </c>
      <c r="AU539">
        <v>2004</v>
      </c>
      <c r="AV539">
        <v>45</v>
      </c>
      <c r="AW539" t="s">
        <v>74</v>
      </c>
      <c r="AX539" t="s">
        <v>74</v>
      </c>
      <c r="AY539" t="s">
        <v>74</v>
      </c>
      <c r="AZ539" t="s">
        <v>74</v>
      </c>
      <c r="BA539" t="s">
        <v>74</v>
      </c>
      <c r="BB539">
        <v>55</v>
      </c>
      <c r="BC539">
        <v>66</v>
      </c>
      <c r="BD539" t="s">
        <v>74</v>
      </c>
      <c r="BE539" t="s">
        <v>74</v>
      </c>
      <c r="BF539" t="s">
        <v>74</v>
      </c>
      <c r="BG539" t="s">
        <v>74</v>
      </c>
      <c r="BH539" t="s">
        <v>74</v>
      </c>
      <c r="BI539">
        <v>12</v>
      </c>
      <c r="BJ539" t="s">
        <v>143</v>
      </c>
      <c r="BK539" t="s">
        <v>3955</v>
      </c>
      <c r="BL539" t="s">
        <v>144</v>
      </c>
      <c r="BM539" t="s">
        <v>7870</v>
      </c>
      <c r="BN539" t="s">
        <v>74</v>
      </c>
      <c r="BO539" t="s">
        <v>74</v>
      </c>
      <c r="BP539" t="s">
        <v>74</v>
      </c>
      <c r="BQ539" t="s">
        <v>74</v>
      </c>
      <c r="BR539" t="s">
        <v>99</v>
      </c>
      <c r="BS539" t="s">
        <v>7871</v>
      </c>
      <c r="BT539" t="str">
        <f>HYPERLINK("https%3A%2F%2Fwww.webofscience.com%2Fwos%2Fwoscc%2Ffull-record%2FWOS:000230112500006","View Full Record in Web of Science")</f>
        <v>View Full Record in Web of Science</v>
      </c>
    </row>
    <row r="540" spans="1:72" x14ac:dyDescent="0.15">
      <c r="A540" t="s">
        <v>3934</v>
      </c>
      <c r="B540" t="s">
        <v>7872</v>
      </c>
      <c r="C540" t="s">
        <v>74</v>
      </c>
      <c r="D540" t="s">
        <v>7855</v>
      </c>
      <c r="E540" t="s">
        <v>74</v>
      </c>
      <c r="F540" t="s">
        <v>7872</v>
      </c>
      <c r="G540" t="s">
        <v>74</v>
      </c>
      <c r="H540" t="s">
        <v>74</v>
      </c>
      <c r="I540" t="s">
        <v>7873</v>
      </c>
      <c r="J540" t="s">
        <v>7874</v>
      </c>
      <c r="K540" t="s">
        <v>7875</v>
      </c>
      <c r="L540" t="s">
        <v>74</v>
      </c>
      <c r="M540" t="s">
        <v>77</v>
      </c>
      <c r="N540" t="s">
        <v>3940</v>
      </c>
      <c r="O540" t="s">
        <v>7859</v>
      </c>
      <c r="P540" t="s">
        <v>7860</v>
      </c>
      <c r="Q540" t="s">
        <v>7861</v>
      </c>
      <c r="R540" t="s">
        <v>74</v>
      </c>
      <c r="S540" t="s">
        <v>74</v>
      </c>
      <c r="T540" t="s">
        <v>7876</v>
      </c>
      <c r="U540" t="s">
        <v>74</v>
      </c>
      <c r="V540" t="s">
        <v>7877</v>
      </c>
      <c r="W540" t="s">
        <v>7878</v>
      </c>
      <c r="X540" t="s">
        <v>74</v>
      </c>
      <c r="Y540" t="s">
        <v>7879</v>
      </c>
      <c r="Z540" t="s">
        <v>74</v>
      </c>
      <c r="AA540" t="s">
        <v>74</v>
      </c>
      <c r="AB540" t="s">
        <v>74</v>
      </c>
      <c r="AC540" t="s">
        <v>74</v>
      </c>
      <c r="AD540" t="s">
        <v>74</v>
      </c>
      <c r="AE540" t="s">
        <v>74</v>
      </c>
      <c r="AF540" t="s">
        <v>74</v>
      </c>
      <c r="AG540">
        <v>1</v>
      </c>
      <c r="AH540">
        <v>1</v>
      </c>
      <c r="AI540">
        <v>1</v>
      </c>
      <c r="AJ540">
        <v>0</v>
      </c>
      <c r="AK540">
        <v>1</v>
      </c>
      <c r="AL540" t="s">
        <v>86</v>
      </c>
      <c r="AM540" t="s">
        <v>3376</v>
      </c>
      <c r="AN540" t="s">
        <v>7631</v>
      </c>
      <c r="AO540" t="s">
        <v>7866</v>
      </c>
      <c r="AP540" t="s">
        <v>74</v>
      </c>
      <c r="AQ540" t="s">
        <v>7867</v>
      </c>
      <c r="AR540" t="s">
        <v>7868</v>
      </c>
      <c r="AS540" t="s">
        <v>7869</v>
      </c>
      <c r="AT540" t="s">
        <v>74</v>
      </c>
      <c r="AU540">
        <v>2004</v>
      </c>
      <c r="AV540">
        <v>45</v>
      </c>
      <c r="AW540" t="s">
        <v>74</v>
      </c>
      <c r="AX540" t="s">
        <v>74</v>
      </c>
      <c r="AY540" t="s">
        <v>74</v>
      </c>
      <c r="AZ540" t="s">
        <v>74</v>
      </c>
      <c r="BA540" t="s">
        <v>74</v>
      </c>
      <c r="BB540">
        <v>279</v>
      </c>
      <c r="BC540">
        <v>280</v>
      </c>
      <c r="BD540" t="s">
        <v>74</v>
      </c>
      <c r="BE540" t="s">
        <v>74</v>
      </c>
      <c r="BF540" t="s">
        <v>74</v>
      </c>
      <c r="BG540" t="s">
        <v>74</v>
      </c>
      <c r="BH540" t="s">
        <v>74</v>
      </c>
      <c r="BI540">
        <v>2</v>
      </c>
      <c r="BJ540" t="s">
        <v>143</v>
      </c>
      <c r="BK540" t="s">
        <v>3955</v>
      </c>
      <c r="BL540" t="s">
        <v>144</v>
      </c>
      <c r="BM540" t="s">
        <v>7870</v>
      </c>
      <c r="BN540" t="s">
        <v>74</v>
      </c>
      <c r="BO540" t="s">
        <v>74</v>
      </c>
      <c r="BP540" t="s">
        <v>74</v>
      </c>
      <c r="BQ540" t="s">
        <v>74</v>
      </c>
      <c r="BR540" t="s">
        <v>99</v>
      </c>
      <c r="BS540" t="s">
        <v>7880</v>
      </c>
      <c r="BT540" t="str">
        <f>HYPERLINK("https%3A%2F%2Fwww.webofscience.com%2Fwos%2Fwoscc%2Ffull-record%2FWOS:000230112500026","View Full Record in Web of Science")</f>
        <v>View Full Record in Web of Science</v>
      </c>
    </row>
    <row r="541" spans="1:72" x14ac:dyDescent="0.15">
      <c r="A541" t="s">
        <v>72</v>
      </c>
      <c r="B541" t="s">
        <v>1497</v>
      </c>
      <c r="C541" t="s">
        <v>74</v>
      </c>
      <c r="D541" t="s">
        <v>74</v>
      </c>
      <c r="E541" t="s">
        <v>74</v>
      </c>
      <c r="F541" t="s">
        <v>1497</v>
      </c>
      <c r="G541" t="s">
        <v>74</v>
      </c>
      <c r="H541" t="s">
        <v>74</v>
      </c>
      <c r="I541" t="s">
        <v>7881</v>
      </c>
      <c r="J541" t="s">
        <v>1499</v>
      </c>
      <c r="K541" t="s">
        <v>74</v>
      </c>
      <c r="L541" t="s">
        <v>74</v>
      </c>
      <c r="M541" t="s">
        <v>77</v>
      </c>
      <c r="N541" t="s">
        <v>78</v>
      </c>
      <c r="O541" t="s">
        <v>74</v>
      </c>
      <c r="P541" t="s">
        <v>74</v>
      </c>
      <c r="Q541" t="s">
        <v>74</v>
      </c>
      <c r="R541" t="s">
        <v>74</v>
      </c>
      <c r="S541" t="s">
        <v>74</v>
      </c>
      <c r="T541" t="s">
        <v>7882</v>
      </c>
      <c r="U541" t="s">
        <v>74</v>
      </c>
      <c r="V541" t="s">
        <v>7883</v>
      </c>
      <c r="W541" t="s">
        <v>647</v>
      </c>
      <c r="X541" t="s">
        <v>82</v>
      </c>
      <c r="Y541" t="s">
        <v>1932</v>
      </c>
      <c r="Z541" t="s">
        <v>74</v>
      </c>
      <c r="AA541" t="s">
        <v>74</v>
      </c>
      <c r="AB541" t="s">
        <v>74</v>
      </c>
      <c r="AC541" t="s">
        <v>74</v>
      </c>
      <c r="AD541" t="s">
        <v>74</v>
      </c>
      <c r="AE541" t="s">
        <v>74</v>
      </c>
      <c r="AF541" t="s">
        <v>74</v>
      </c>
      <c r="AG541">
        <v>6</v>
      </c>
      <c r="AH541">
        <v>0</v>
      </c>
      <c r="AI541">
        <v>0</v>
      </c>
      <c r="AJ541">
        <v>0</v>
      </c>
      <c r="AK541">
        <v>0</v>
      </c>
      <c r="AL541" t="s">
        <v>1503</v>
      </c>
      <c r="AM541" t="s">
        <v>1417</v>
      </c>
      <c r="AN541" t="s">
        <v>1509</v>
      </c>
      <c r="AO541" t="s">
        <v>1510</v>
      </c>
      <c r="AP541" t="s">
        <v>74</v>
      </c>
      <c r="AQ541" t="s">
        <v>74</v>
      </c>
      <c r="AR541" t="s">
        <v>1511</v>
      </c>
      <c r="AS541" t="s">
        <v>1512</v>
      </c>
      <c r="AT541" t="s">
        <v>5979</v>
      </c>
      <c r="AU541">
        <v>2004</v>
      </c>
      <c r="AV541">
        <v>57</v>
      </c>
      <c r="AW541" t="s">
        <v>536</v>
      </c>
      <c r="AX541" t="s">
        <v>74</v>
      </c>
      <c r="AY541" t="s">
        <v>74</v>
      </c>
      <c r="AZ541" t="s">
        <v>74</v>
      </c>
      <c r="BA541" t="s">
        <v>74</v>
      </c>
      <c r="BB541">
        <v>40</v>
      </c>
      <c r="BC541">
        <v>44</v>
      </c>
      <c r="BD541" t="s">
        <v>74</v>
      </c>
      <c r="BE541" t="s">
        <v>74</v>
      </c>
      <c r="BF541" t="s">
        <v>74</v>
      </c>
      <c r="BG541" t="s">
        <v>74</v>
      </c>
      <c r="BH541" t="s">
        <v>74</v>
      </c>
      <c r="BI541">
        <v>5</v>
      </c>
      <c r="BJ541" t="s">
        <v>1513</v>
      </c>
      <c r="BK541" t="s">
        <v>96</v>
      </c>
      <c r="BL541" t="s">
        <v>1514</v>
      </c>
      <c r="BM541" t="s">
        <v>7884</v>
      </c>
      <c r="BN541" t="s">
        <v>74</v>
      </c>
      <c r="BO541" t="s">
        <v>74</v>
      </c>
      <c r="BP541" t="s">
        <v>74</v>
      </c>
      <c r="BQ541" t="s">
        <v>74</v>
      </c>
      <c r="BR541" t="s">
        <v>99</v>
      </c>
      <c r="BS541" t="s">
        <v>7885</v>
      </c>
      <c r="BT541" t="str">
        <f>HYPERLINK("https%3A%2F%2Fwww.webofscience.com%2Fwos%2Fwoscc%2Ffull-record%2FWOS:000188091800006","View Full Record in Web of Science")</f>
        <v>View Full Record in Web of Science</v>
      </c>
    </row>
    <row r="542" spans="1:72" x14ac:dyDescent="0.15">
      <c r="A542" t="s">
        <v>72</v>
      </c>
      <c r="B542" t="s">
        <v>7886</v>
      </c>
      <c r="C542" t="s">
        <v>74</v>
      </c>
      <c r="D542" t="s">
        <v>74</v>
      </c>
      <c r="E542" t="s">
        <v>74</v>
      </c>
      <c r="F542" t="s">
        <v>7886</v>
      </c>
      <c r="G542" t="s">
        <v>74</v>
      </c>
      <c r="H542" t="s">
        <v>74</v>
      </c>
      <c r="I542" t="s">
        <v>7887</v>
      </c>
      <c r="J542" t="s">
        <v>7888</v>
      </c>
      <c r="K542" t="s">
        <v>74</v>
      </c>
      <c r="L542" t="s">
        <v>74</v>
      </c>
      <c r="M542" t="s">
        <v>77</v>
      </c>
      <c r="N542" t="s">
        <v>311</v>
      </c>
      <c r="O542" t="s">
        <v>7889</v>
      </c>
      <c r="P542" t="s">
        <v>7890</v>
      </c>
      <c r="Q542" t="s">
        <v>7891</v>
      </c>
      <c r="R542" t="s">
        <v>74</v>
      </c>
      <c r="S542" t="s">
        <v>74</v>
      </c>
      <c r="T542" t="s">
        <v>74</v>
      </c>
      <c r="U542" t="s">
        <v>7892</v>
      </c>
      <c r="V542" t="s">
        <v>7893</v>
      </c>
      <c r="W542" t="s">
        <v>7894</v>
      </c>
      <c r="X542" t="s">
        <v>7895</v>
      </c>
      <c r="Y542" t="s">
        <v>7896</v>
      </c>
      <c r="Z542" t="s">
        <v>7897</v>
      </c>
      <c r="AA542" t="s">
        <v>7898</v>
      </c>
      <c r="AB542" t="s">
        <v>7899</v>
      </c>
      <c r="AC542" t="s">
        <v>74</v>
      </c>
      <c r="AD542" t="s">
        <v>74</v>
      </c>
      <c r="AE542" t="s">
        <v>74</v>
      </c>
      <c r="AF542" t="s">
        <v>74</v>
      </c>
      <c r="AG542">
        <v>56</v>
      </c>
      <c r="AH542">
        <v>62</v>
      </c>
      <c r="AI542">
        <v>70</v>
      </c>
      <c r="AJ542">
        <v>1</v>
      </c>
      <c r="AK542">
        <v>46</v>
      </c>
      <c r="AL542" t="s">
        <v>7900</v>
      </c>
      <c r="AM542" t="s">
        <v>824</v>
      </c>
      <c r="AN542" t="s">
        <v>7901</v>
      </c>
      <c r="AO542" t="s">
        <v>7902</v>
      </c>
      <c r="AP542" t="s">
        <v>7903</v>
      </c>
      <c r="AQ542" t="s">
        <v>74</v>
      </c>
      <c r="AR542" t="s">
        <v>7904</v>
      </c>
      <c r="AS542" t="s">
        <v>7905</v>
      </c>
      <c r="AT542" t="s">
        <v>74</v>
      </c>
      <c r="AU542">
        <v>2004</v>
      </c>
      <c r="AV542">
        <v>19</v>
      </c>
      <c r="AW542">
        <v>7</v>
      </c>
      <c r="AX542" t="s">
        <v>74</v>
      </c>
      <c r="AY542" t="s">
        <v>74</v>
      </c>
      <c r="AZ542" t="s">
        <v>74</v>
      </c>
      <c r="BA542" t="s">
        <v>74</v>
      </c>
      <c r="BB542">
        <v>815</v>
      </c>
      <c r="BC542">
        <v>822</v>
      </c>
      <c r="BD542" t="s">
        <v>74</v>
      </c>
      <c r="BE542" t="s">
        <v>7906</v>
      </c>
      <c r="BF542" t="str">
        <f>HYPERLINK("http://dx.doi.org/10.1039/b403128h","http://dx.doi.org/10.1039/b403128h")</f>
        <v>http://dx.doi.org/10.1039/b403128h</v>
      </c>
      <c r="BG542" t="s">
        <v>74</v>
      </c>
      <c r="BH542" t="s">
        <v>74</v>
      </c>
      <c r="BI542">
        <v>8</v>
      </c>
      <c r="BJ542" t="s">
        <v>7907</v>
      </c>
      <c r="BK542" t="s">
        <v>332</v>
      </c>
      <c r="BL542" t="s">
        <v>7908</v>
      </c>
      <c r="BM542" t="s">
        <v>7909</v>
      </c>
      <c r="BN542" t="s">
        <v>74</v>
      </c>
      <c r="BO542" t="s">
        <v>74</v>
      </c>
      <c r="BP542" t="s">
        <v>74</v>
      </c>
      <c r="BQ542" t="s">
        <v>74</v>
      </c>
      <c r="BR542" t="s">
        <v>99</v>
      </c>
      <c r="BS542" t="s">
        <v>7910</v>
      </c>
      <c r="BT542" t="str">
        <f>HYPERLINK("https%3A%2F%2Fwww.webofscience.com%2Fwos%2Fwoscc%2Ffull-record%2FWOS:000222472700001","View Full Record in Web of Science")</f>
        <v>View Full Record in Web of Science</v>
      </c>
    </row>
    <row r="543" spans="1:72" x14ac:dyDescent="0.15">
      <c r="A543" t="s">
        <v>72</v>
      </c>
      <c r="B543" t="s">
        <v>7911</v>
      </c>
      <c r="C543" t="s">
        <v>74</v>
      </c>
      <c r="D543" t="s">
        <v>74</v>
      </c>
      <c r="E543" t="s">
        <v>74</v>
      </c>
      <c r="F543" t="s">
        <v>7911</v>
      </c>
      <c r="G543" t="s">
        <v>74</v>
      </c>
      <c r="H543" t="s">
        <v>74</v>
      </c>
      <c r="I543" t="s">
        <v>7912</v>
      </c>
      <c r="J543" t="s">
        <v>7888</v>
      </c>
      <c r="K543" t="s">
        <v>74</v>
      </c>
      <c r="L543" t="s">
        <v>74</v>
      </c>
      <c r="M543" t="s">
        <v>77</v>
      </c>
      <c r="N543" t="s">
        <v>311</v>
      </c>
      <c r="O543" t="s">
        <v>7889</v>
      </c>
      <c r="P543" t="s">
        <v>7890</v>
      </c>
      <c r="Q543" t="s">
        <v>7891</v>
      </c>
      <c r="R543" t="s">
        <v>74</v>
      </c>
      <c r="S543" t="s">
        <v>74</v>
      </c>
      <c r="T543" t="s">
        <v>74</v>
      </c>
      <c r="U543" t="s">
        <v>7913</v>
      </c>
      <c r="V543" t="s">
        <v>7914</v>
      </c>
      <c r="W543" t="s">
        <v>7915</v>
      </c>
      <c r="X543" t="s">
        <v>7916</v>
      </c>
      <c r="Y543" t="s">
        <v>7917</v>
      </c>
      <c r="Z543" t="s">
        <v>7918</v>
      </c>
      <c r="AA543" t="s">
        <v>7919</v>
      </c>
      <c r="AB543" t="s">
        <v>7920</v>
      </c>
      <c r="AC543" t="s">
        <v>74</v>
      </c>
      <c r="AD543" t="s">
        <v>74</v>
      </c>
      <c r="AE543" t="s">
        <v>74</v>
      </c>
      <c r="AF543" t="s">
        <v>74</v>
      </c>
      <c r="AG543">
        <v>32</v>
      </c>
      <c r="AH543">
        <v>36</v>
      </c>
      <c r="AI543">
        <v>40</v>
      </c>
      <c r="AJ543">
        <v>3</v>
      </c>
      <c r="AK543">
        <v>21</v>
      </c>
      <c r="AL543" t="s">
        <v>7900</v>
      </c>
      <c r="AM543" t="s">
        <v>824</v>
      </c>
      <c r="AN543" t="s">
        <v>7901</v>
      </c>
      <c r="AO543" t="s">
        <v>7902</v>
      </c>
      <c r="AP543" t="s">
        <v>7903</v>
      </c>
      <c r="AQ543" t="s">
        <v>74</v>
      </c>
      <c r="AR543" t="s">
        <v>7904</v>
      </c>
      <c r="AS543" t="s">
        <v>7905</v>
      </c>
      <c r="AT543" t="s">
        <v>74</v>
      </c>
      <c r="AU543">
        <v>2004</v>
      </c>
      <c r="AV543">
        <v>19</v>
      </c>
      <c r="AW543">
        <v>7</v>
      </c>
      <c r="AX543" t="s">
        <v>74</v>
      </c>
      <c r="AY543" t="s">
        <v>74</v>
      </c>
      <c r="AZ543" t="s">
        <v>74</v>
      </c>
      <c r="BA543" t="s">
        <v>74</v>
      </c>
      <c r="BB543">
        <v>823</v>
      </c>
      <c r="BC543">
        <v>830</v>
      </c>
      <c r="BD543" t="s">
        <v>74</v>
      </c>
      <c r="BE543" t="s">
        <v>7921</v>
      </c>
      <c r="BF543" t="str">
        <f>HYPERLINK("http://dx.doi.org/10.1039/b402711f","http://dx.doi.org/10.1039/b402711f")</f>
        <v>http://dx.doi.org/10.1039/b402711f</v>
      </c>
      <c r="BG543" t="s">
        <v>74</v>
      </c>
      <c r="BH543" t="s">
        <v>74</v>
      </c>
      <c r="BI543">
        <v>8</v>
      </c>
      <c r="BJ543" t="s">
        <v>7907</v>
      </c>
      <c r="BK543" t="s">
        <v>332</v>
      </c>
      <c r="BL543" t="s">
        <v>7908</v>
      </c>
      <c r="BM543" t="s">
        <v>7909</v>
      </c>
      <c r="BN543" t="s">
        <v>74</v>
      </c>
      <c r="BO543" t="s">
        <v>74</v>
      </c>
      <c r="BP543" t="s">
        <v>74</v>
      </c>
      <c r="BQ543" t="s">
        <v>74</v>
      </c>
      <c r="BR543" t="s">
        <v>99</v>
      </c>
      <c r="BS543" t="s">
        <v>7922</v>
      </c>
      <c r="BT543" t="str">
        <f>HYPERLINK("https%3A%2F%2Fwww.webofscience.com%2Fwos%2Fwoscc%2Ffull-record%2FWOS:000222472700002","View Full Record in Web of Science")</f>
        <v>View Full Record in Web of Science</v>
      </c>
    </row>
    <row r="544" spans="1:72" x14ac:dyDescent="0.15">
      <c r="A544" t="s">
        <v>72</v>
      </c>
      <c r="B544" t="s">
        <v>7923</v>
      </c>
      <c r="C544" t="s">
        <v>74</v>
      </c>
      <c r="D544" t="s">
        <v>74</v>
      </c>
      <c r="E544" t="s">
        <v>74</v>
      </c>
      <c r="F544" t="s">
        <v>7923</v>
      </c>
      <c r="G544" t="s">
        <v>74</v>
      </c>
      <c r="H544" t="s">
        <v>74</v>
      </c>
      <c r="I544" t="s">
        <v>7924</v>
      </c>
      <c r="J544" t="s">
        <v>7888</v>
      </c>
      <c r="K544" t="s">
        <v>74</v>
      </c>
      <c r="L544" t="s">
        <v>74</v>
      </c>
      <c r="M544" t="s">
        <v>77</v>
      </c>
      <c r="N544" t="s">
        <v>311</v>
      </c>
      <c r="O544" t="s">
        <v>7889</v>
      </c>
      <c r="P544" t="s">
        <v>7890</v>
      </c>
      <c r="Q544" t="s">
        <v>7891</v>
      </c>
      <c r="R544" t="s">
        <v>74</v>
      </c>
      <c r="S544" t="s">
        <v>74</v>
      </c>
      <c r="T544" t="s">
        <v>74</v>
      </c>
      <c r="U544" t="s">
        <v>7925</v>
      </c>
      <c r="V544" t="s">
        <v>7926</v>
      </c>
      <c r="W544" t="s">
        <v>7927</v>
      </c>
      <c r="X544" t="s">
        <v>7928</v>
      </c>
      <c r="Y544" t="s">
        <v>7929</v>
      </c>
      <c r="Z544" t="s">
        <v>7918</v>
      </c>
      <c r="AA544" t="s">
        <v>7930</v>
      </c>
      <c r="AB544" t="s">
        <v>7931</v>
      </c>
      <c r="AC544" t="s">
        <v>74</v>
      </c>
      <c r="AD544" t="s">
        <v>74</v>
      </c>
      <c r="AE544" t="s">
        <v>74</v>
      </c>
      <c r="AF544" t="s">
        <v>74</v>
      </c>
      <c r="AG544">
        <v>35</v>
      </c>
      <c r="AH544">
        <v>35</v>
      </c>
      <c r="AI544">
        <v>37</v>
      </c>
      <c r="AJ544">
        <v>1</v>
      </c>
      <c r="AK544">
        <v>15</v>
      </c>
      <c r="AL544" t="s">
        <v>7900</v>
      </c>
      <c r="AM544" t="s">
        <v>824</v>
      </c>
      <c r="AN544" t="s">
        <v>7901</v>
      </c>
      <c r="AO544" t="s">
        <v>7902</v>
      </c>
      <c r="AP544" t="s">
        <v>7903</v>
      </c>
      <c r="AQ544" t="s">
        <v>74</v>
      </c>
      <c r="AR544" t="s">
        <v>7904</v>
      </c>
      <c r="AS544" t="s">
        <v>7905</v>
      </c>
      <c r="AT544" t="s">
        <v>74</v>
      </c>
      <c r="AU544">
        <v>2004</v>
      </c>
      <c r="AV544">
        <v>19</v>
      </c>
      <c r="AW544">
        <v>7</v>
      </c>
      <c r="AX544" t="s">
        <v>74</v>
      </c>
      <c r="AY544" t="s">
        <v>74</v>
      </c>
      <c r="AZ544" t="s">
        <v>74</v>
      </c>
      <c r="BA544" t="s">
        <v>74</v>
      </c>
      <c r="BB544">
        <v>831</v>
      </c>
      <c r="BC544">
        <v>837</v>
      </c>
      <c r="BD544" t="s">
        <v>74</v>
      </c>
      <c r="BE544" t="s">
        <v>7932</v>
      </c>
      <c r="BF544" t="str">
        <f>HYPERLINK("http://dx.doi.org/10.1039/b316283d","http://dx.doi.org/10.1039/b316283d")</f>
        <v>http://dx.doi.org/10.1039/b316283d</v>
      </c>
      <c r="BG544" t="s">
        <v>74</v>
      </c>
      <c r="BH544" t="s">
        <v>74</v>
      </c>
      <c r="BI544">
        <v>7</v>
      </c>
      <c r="BJ544" t="s">
        <v>7907</v>
      </c>
      <c r="BK544" t="s">
        <v>332</v>
      </c>
      <c r="BL544" t="s">
        <v>7908</v>
      </c>
      <c r="BM544" t="s">
        <v>7909</v>
      </c>
      <c r="BN544" t="s">
        <v>74</v>
      </c>
      <c r="BO544" t="s">
        <v>74</v>
      </c>
      <c r="BP544" t="s">
        <v>74</v>
      </c>
      <c r="BQ544" t="s">
        <v>74</v>
      </c>
      <c r="BR544" t="s">
        <v>99</v>
      </c>
      <c r="BS544" t="s">
        <v>7933</v>
      </c>
      <c r="BT544" t="str">
        <f>HYPERLINK("https%3A%2F%2Fwww.webofscience.com%2Fwos%2Fwoscc%2Ffull-record%2FWOS:000222472700003","View Full Record in Web of Science")</f>
        <v>View Full Record in Web of Science</v>
      </c>
    </row>
    <row r="545" spans="1:72" x14ac:dyDescent="0.15">
      <c r="A545" t="s">
        <v>72</v>
      </c>
      <c r="B545" t="s">
        <v>7934</v>
      </c>
      <c r="C545" t="s">
        <v>74</v>
      </c>
      <c r="D545" t="s">
        <v>74</v>
      </c>
      <c r="E545" t="s">
        <v>74</v>
      </c>
      <c r="F545" t="s">
        <v>7934</v>
      </c>
      <c r="G545" t="s">
        <v>74</v>
      </c>
      <c r="H545" t="s">
        <v>74</v>
      </c>
      <c r="I545" t="s">
        <v>7935</v>
      </c>
      <c r="J545" t="s">
        <v>7936</v>
      </c>
      <c r="K545" t="s">
        <v>74</v>
      </c>
      <c r="L545" t="s">
        <v>74</v>
      </c>
      <c r="M545" t="s">
        <v>77</v>
      </c>
      <c r="N545" t="s">
        <v>78</v>
      </c>
      <c r="O545" t="s">
        <v>74</v>
      </c>
      <c r="P545" t="s">
        <v>74</v>
      </c>
      <c r="Q545" t="s">
        <v>74</v>
      </c>
      <c r="R545" t="s">
        <v>74</v>
      </c>
      <c r="S545" t="s">
        <v>74</v>
      </c>
      <c r="T545" t="s">
        <v>7937</v>
      </c>
      <c r="U545" t="s">
        <v>7938</v>
      </c>
      <c r="V545" t="s">
        <v>7939</v>
      </c>
      <c r="W545" t="s">
        <v>7940</v>
      </c>
      <c r="X545" t="s">
        <v>7941</v>
      </c>
      <c r="Y545" t="s">
        <v>7942</v>
      </c>
      <c r="Z545" t="s">
        <v>7943</v>
      </c>
      <c r="AA545" t="s">
        <v>7944</v>
      </c>
      <c r="AB545" t="s">
        <v>7945</v>
      </c>
      <c r="AC545" t="s">
        <v>74</v>
      </c>
      <c r="AD545" t="s">
        <v>74</v>
      </c>
      <c r="AE545" t="s">
        <v>74</v>
      </c>
      <c r="AF545" t="s">
        <v>74</v>
      </c>
      <c r="AG545">
        <v>50</v>
      </c>
      <c r="AH545">
        <v>156</v>
      </c>
      <c r="AI545">
        <v>172</v>
      </c>
      <c r="AJ545">
        <v>1</v>
      </c>
      <c r="AK545">
        <v>35</v>
      </c>
      <c r="AL545" t="s">
        <v>198</v>
      </c>
      <c r="AM545" t="s">
        <v>178</v>
      </c>
      <c r="AN545" t="s">
        <v>179</v>
      </c>
      <c r="AO545" t="s">
        <v>7946</v>
      </c>
      <c r="AP545" t="s">
        <v>7947</v>
      </c>
      <c r="AQ545" t="s">
        <v>74</v>
      </c>
      <c r="AR545" t="s">
        <v>7948</v>
      </c>
      <c r="AS545" t="s">
        <v>7949</v>
      </c>
      <c r="AT545" t="s">
        <v>74</v>
      </c>
      <c r="AU545">
        <v>2004</v>
      </c>
      <c r="AV545">
        <v>96</v>
      </c>
      <c r="AW545">
        <v>5</v>
      </c>
      <c r="AX545" t="s">
        <v>74</v>
      </c>
      <c r="AY545" t="s">
        <v>74</v>
      </c>
      <c r="AZ545" t="s">
        <v>74</v>
      </c>
      <c r="BA545" t="s">
        <v>74</v>
      </c>
      <c r="BB545">
        <v>1057</v>
      </c>
      <c r="BC545">
        <v>1066</v>
      </c>
      <c r="BD545" t="s">
        <v>74</v>
      </c>
      <c r="BE545" t="s">
        <v>7950</v>
      </c>
      <c r="BF545" t="str">
        <f>HYPERLINK("http://dx.doi.org/10.1111/j.1365-2672.2004.02216.x","http://dx.doi.org/10.1111/j.1365-2672.2004.02216.x")</f>
        <v>http://dx.doi.org/10.1111/j.1365-2672.2004.02216.x</v>
      </c>
      <c r="BG545" t="s">
        <v>74</v>
      </c>
      <c r="BH545" t="s">
        <v>74</v>
      </c>
      <c r="BI545">
        <v>10</v>
      </c>
      <c r="BJ545" t="s">
        <v>2092</v>
      </c>
      <c r="BK545" t="s">
        <v>96</v>
      </c>
      <c r="BL545" t="s">
        <v>2092</v>
      </c>
      <c r="BM545" t="s">
        <v>7951</v>
      </c>
      <c r="BN545">
        <v>15078522</v>
      </c>
      <c r="BO545" t="s">
        <v>479</v>
      </c>
      <c r="BP545" t="s">
        <v>74</v>
      </c>
      <c r="BQ545" t="s">
        <v>74</v>
      </c>
      <c r="BR545" t="s">
        <v>99</v>
      </c>
      <c r="BS545" t="s">
        <v>7952</v>
      </c>
      <c r="BT545" t="str">
        <f>HYPERLINK("https%3A%2F%2Fwww.webofscience.com%2Fwos%2Fwoscc%2Ffull-record%2FWOS:000221329000018","View Full Record in Web of Science")</f>
        <v>View Full Record in Web of Science</v>
      </c>
    </row>
    <row r="546" spans="1:72" x14ac:dyDescent="0.15">
      <c r="A546" t="s">
        <v>72</v>
      </c>
      <c r="B546" t="s">
        <v>7953</v>
      </c>
      <c r="C546" t="s">
        <v>74</v>
      </c>
      <c r="D546" t="s">
        <v>74</v>
      </c>
      <c r="E546" t="s">
        <v>74</v>
      </c>
      <c r="F546" t="s">
        <v>7953</v>
      </c>
      <c r="G546" t="s">
        <v>74</v>
      </c>
      <c r="H546" t="s">
        <v>74</v>
      </c>
      <c r="I546" t="s">
        <v>7954</v>
      </c>
      <c r="J546" t="s">
        <v>7955</v>
      </c>
      <c r="K546" t="s">
        <v>74</v>
      </c>
      <c r="L546" t="s">
        <v>74</v>
      </c>
      <c r="M546" t="s">
        <v>77</v>
      </c>
      <c r="N546" t="s">
        <v>311</v>
      </c>
      <c r="O546" t="s">
        <v>7956</v>
      </c>
      <c r="P546" t="s">
        <v>3859</v>
      </c>
      <c r="Q546" t="s">
        <v>7957</v>
      </c>
      <c r="R546" t="s">
        <v>74</v>
      </c>
      <c r="S546" t="s">
        <v>74</v>
      </c>
      <c r="T546" t="s">
        <v>7958</v>
      </c>
      <c r="U546" t="s">
        <v>7959</v>
      </c>
      <c r="V546" t="s">
        <v>7960</v>
      </c>
      <c r="W546" t="s">
        <v>7961</v>
      </c>
      <c r="X546" t="s">
        <v>7962</v>
      </c>
      <c r="Y546" t="s">
        <v>7963</v>
      </c>
      <c r="Z546" t="s">
        <v>7964</v>
      </c>
      <c r="AA546" t="s">
        <v>2466</v>
      </c>
      <c r="AB546" t="s">
        <v>2467</v>
      </c>
      <c r="AC546" t="s">
        <v>74</v>
      </c>
      <c r="AD546" t="s">
        <v>74</v>
      </c>
      <c r="AE546" t="s">
        <v>74</v>
      </c>
      <c r="AF546" t="s">
        <v>74</v>
      </c>
      <c r="AG546">
        <v>38</v>
      </c>
      <c r="AH546">
        <v>84</v>
      </c>
      <c r="AI546">
        <v>86</v>
      </c>
      <c r="AJ546">
        <v>0</v>
      </c>
      <c r="AK546">
        <v>2</v>
      </c>
      <c r="AL546" t="s">
        <v>213</v>
      </c>
      <c r="AM546" t="s">
        <v>214</v>
      </c>
      <c r="AN546" t="s">
        <v>215</v>
      </c>
      <c r="AO546" t="s">
        <v>7965</v>
      </c>
      <c r="AP546" t="s">
        <v>7966</v>
      </c>
      <c r="AQ546" t="s">
        <v>74</v>
      </c>
      <c r="AR546" t="s">
        <v>7967</v>
      </c>
      <c r="AS546" t="s">
        <v>7968</v>
      </c>
      <c r="AT546" t="s">
        <v>4117</v>
      </c>
      <c r="AU546">
        <v>2004</v>
      </c>
      <c r="AV546">
        <v>66</v>
      </c>
      <c r="AW546">
        <v>2</v>
      </c>
      <c r="AX546" t="s">
        <v>74</v>
      </c>
      <c r="AY546" t="s">
        <v>74</v>
      </c>
      <c r="AZ546" t="s">
        <v>74</v>
      </c>
      <c r="BA546" t="s">
        <v>74</v>
      </c>
      <c r="BB546">
        <v>133</v>
      </c>
      <c r="BC546">
        <v>146</v>
      </c>
      <c r="BD546" t="s">
        <v>74</v>
      </c>
      <c r="BE546" t="s">
        <v>7969</v>
      </c>
      <c r="BF546" t="str">
        <f>HYPERLINK("http://dx.doi.org/10.1016/j.jastp.2003.09.013","http://dx.doi.org/10.1016/j.jastp.2003.09.013")</f>
        <v>http://dx.doi.org/10.1016/j.jastp.2003.09.013</v>
      </c>
      <c r="BG546" t="s">
        <v>74</v>
      </c>
      <c r="BH546" t="s">
        <v>74</v>
      </c>
      <c r="BI546">
        <v>14</v>
      </c>
      <c r="BJ546" t="s">
        <v>7970</v>
      </c>
      <c r="BK546" t="s">
        <v>332</v>
      </c>
      <c r="BL546" t="s">
        <v>7970</v>
      </c>
      <c r="BM546" t="s">
        <v>7971</v>
      </c>
      <c r="BN546" t="s">
        <v>74</v>
      </c>
      <c r="BO546" t="s">
        <v>74</v>
      </c>
      <c r="BP546" t="s">
        <v>74</v>
      </c>
      <c r="BQ546" t="s">
        <v>74</v>
      </c>
      <c r="BR546" t="s">
        <v>99</v>
      </c>
      <c r="BS546" t="s">
        <v>7972</v>
      </c>
      <c r="BT546" t="str">
        <f>HYPERLINK("https%3A%2F%2Fwww.webofscience.com%2Fwos%2Fwoscc%2Ffull-record%2FWOS:000188740100003","View Full Record in Web of Science")</f>
        <v>View Full Record in Web of Science</v>
      </c>
    </row>
    <row r="547" spans="1:72" x14ac:dyDescent="0.15">
      <c r="A547" t="s">
        <v>72</v>
      </c>
      <c r="B547" t="s">
        <v>7973</v>
      </c>
      <c r="C547" t="s">
        <v>74</v>
      </c>
      <c r="D547" t="s">
        <v>74</v>
      </c>
      <c r="E547" t="s">
        <v>74</v>
      </c>
      <c r="F547" t="s">
        <v>7973</v>
      </c>
      <c r="G547" t="s">
        <v>74</v>
      </c>
      <c r="H547" t="s">
        <v>74</v>
      </c>
      <c r="I547" t="s">
        <v>7974</v>
      </c>
      <c r="J547" t="s">
        <v>7975</v>
      </c>
      <c r="K547" t="s">
        <v>74</v>
      </c>
      <c r="L547" t="s">
        <v>74</v>
      </c>
      <c r="M547" t="s">
        <v>77</v>
      </c>
      <c r="N547" t="s">
        <v>78</v>
      </c>
      <c r="O547" t="s">
        <v>74</v>
      </c>
      <c r="P547" t="s">
        <v>74</v>
      </c>
      <c r="Q547" t="s">
        <v>74</v>
      </c>
      <c r="R547" t="s">
        <v>74</v>
      </c>
      <c r="S547" t="s">
        <v>74</v>
      </c>
      <c r="T547" t="s">
        <v>7976</v>
      </c>
      <c r="U547" t="s">
        <v>7977</v>
      </c>
      <c r="V547" t="s">
        <v>7978</v>
      </c>
      <c r="W547" t="s">
        <v>7979</v>
      </c>
      <c r="X547" t="s">
        <v>7980</v>
      </c>
      <c r="Y547" t="s">
        <v>7981</v>
      </c>
      <c r="Z547" t="s">
        <v>7982</v>
      </c>
      <c r="AA547" t="s">
        <v>7983</v>
      </c>
      <c r="AB547" t="s">
        <v>7984</v>
      </c>
      <c r="AC547" t="s">
        <v>74</v>
      </c>
      <c r="AD547" t="s">
        <v>74</v>
      </c>
      <c r="AE547" t="s">
        <v>74</v>
      </c>
      <c r="AF547" t="s">
        <v>74</v>
      </c>
      <c r="AG547">
        <v>38</v>
      </c>
      <c r="AH547">
        <v>25</v>
      </c>
      <c r="AI547">
        <v>26</v>
      </c>
      <c r="AJ547">
        <v>0</v>
      </c>
      <c r="AK547">
        <v>6</v>
      </c>
      <c r="AL547" t="s">
        <v>3375</v>
      </c>
      <c r="AM547" t="s">
        <v>3376</v>
      </c>
      <c r="AN547" t="s">
        <v>3377</v>
      </c>
      <c r="AO547" t="s">
        <v>7985</v>
      </c>
      <c r="AP547" t="s">
        <v>74</v>
      </c>
      <c r="AQ547" t="s">
        <v>74</v>
      </c>
      <c r="AR547" t="s">
        <v>7986</v>
      </c>
      <c r="AS547" t="s">
        <v>7987</v>
      </c>
      <c r="AT547" t="s">
        <v>4117</v>
      </c>
      <c r="AU547">
        <v>2004</v>
      </c>
      <c r="AV547">
        <v>47</v>
      </c>
      <c r="AW547">
        <v>1</v>
      </c>
      <c r="AX547" t="s">
        <v>74</v>
      </c>
      <c r="AY547" t="s">
        <v>74</v>
      </c>
      <c r="AZ547" t="s">
        <v>74</v>
      </c>
      <c r="BA547" t="s">
        <v>74</v>
      </c>
      <c r="BB547">
        <v>25</v>
      </c>
      <c r="BC547">
        <v>43</v>
      </c>
      <c r="BD547" t="s">
        <v>74</v>
      </c>
      <c r="BE547" t="s">
        <v>7988</v>
      </c>
      <c r="BF547" t="str">
        <f>HYPERLINK("http://dx.doi.org/10.1023/B:JOCH.0000012242.06578.6c","http://dx.doi.org/10.1023/B:JOCH.0000012242.06578.6c")</f>
        <v>http://dx.doi.org/10.1023/B:JOCH.0000012242.06578.6c</v>
      </c>
      <c r="BG547" t="s">
        <v>74</v>
      </c>
      <c r="BH547" t="s">
        <v>74</v>
      </c>
      <c r="BI547">
        <v>19</v>
      </c>
      <c r="BJ547" t="s">
        <v>3631</v>
      </c>
      <c r="BK547" t="s">
        <v>96</v>
      </c>
      <c r="BL547" t="s">
        <v>3632</v>
      </c>
      <c r="BM547" t="s">
        <v>7989</v>
      </c>
      <c r="BN547" t="s">
        <v>74</v>
      </c>
      <c r="BO547" t="s">
        <v>74</v>
      </c>
      <c r="BP547" t="s">
        <v>74</v>
      </c>
      <c r="BQ547" t="s">
        <v>74</v>
      </c>
      <c r="BR547" t="s">
        <v>99</v>
      </c>
      <c r="BS547" t="s">
        <v>7990</v>
      </c>
      <c r="BT547" t="str">
        <f>HYPERLINK("https%3A%2F%2Fwww.webofscience.com%2Fwos%2Fwoscc%2Ffull-record%2FWOS:000188212400002","View Full Record in Web of Science")</f>
        <v>View Full Record in Web of Science</v>
      </c>
    </row>
    <row r="548" spans="1:72" x14ac:dyDescent="0.15">
      <c r="A548" t="s">
        <v>72</v>
      </c>
      <c r="B548" t="s">
        <v>7991</v>
      </c>
      <c r="C548" t="s">
        <v>74</v>
      </c>
      <c r="D548" t="s">
        <v>74</v>
      </c>
      <c r="E548" t="s">
        <v>74</v>
      </c>
      <c r="F548" t="s">
        <v>7991</v>
      </c>
      <c r="G548" t="s">
        <v>74</v>
      </c>
      <c r="H548" t="s">
        <v>74</v>
      </c>
      <c r="I548" t="s">
        <v>7992</v>
      </c>
      <c r="J548" t="s">
        <v>7993</v>
      </c>
      <c r="K548" t="s">
        <v>74</v>
      </c>
      <c r="L548" t="s">
        <v>74</v>
      </c>
      <c r="M548" t="s">
        <v>77</v>
      </c>
      <c r="N548" t="s">
        <v>78</v>
      </c>
      <c r="O548" t="s">
        <v>74</v>
      </c>
      <c r="P548" t="s">
        <v>74</v>
      </c>
      <c r="Q548" t="s">
        <v>74</v>
      </c>
      <c r="R548" t="s">
        <v>74</v>
      </c>
      <c r="S548" t="s">
        <v>74</v>
      </c>
      <c r="T548" t="s">
        <v>74</v>
      </c>
      <c r="U548" t="s">
        <v>7994</v>
      </c>
      <c r="V548" t="s">
        <v>7995</v>
      </c>
      <c r="W548" t="s">
        <v>7996</v>
      </c>
      <c r="X548" t="s">
        <v>7997</v>
      </c>
      <c r="Y548" t="s">
        <v>7998</v>
      </c>
      <c r="Z548" t="s">
        <v>7999</v>
      </c>
      <c r="AA548" t="s">
        <v>8000</v>
      </c>
      <c r="AB548" t="s">
        <v>8001</v>
      </c>
      <c r="AC548" t="s">
        <v>74</v>
      </c>
      <c r="AD548" t="s">
        <v>74</v>
      </c>
      <c r="AE548" t="s">
        <v>74</v>
      </c>
      <c r="AF548" t="s">
        <v>74</v>
      </c>
      <c r="AG548">
        <v>23</v>
      </c>
      <c r="AH548">
        <v>55</v>
      </c>
      <c r="AI548">
        <v>62</v>
      </c>
      <c r="AJ548">
        <v>1</v>
      </c>
      <c r="AK548">
        <v>16</v>
      </c>
      <c r="AL548" t="s">
        <v>2583</v>
      </c>
      <c r="AM548" t="s">
        <v>364</v>
      </c>
      <c r="AN548" t="s">
        <v>2584</v>
      </c>
      <c r="AO548" t="s">
        <v>8002</v>
      </c>
      <c r="AP548" t="s">
        <v>8003</v>
      </c>
      <c r="AQ548" t="s">
        <v>74</v>
      </c>
      <c r="AR548" t="s">
        <v>8004</v>
      </c>
      <c r="AS548" t="s">
        <v>8005</v>
      </c>
      <c r="AT548" t="s">
        <v>4117</v>
      </c>
      <c r="AU548">
        <v>2004</v>
      </c>
      <c r="AV548">
        <v>186</v>
      </c>
      <c r="AW548">
        <v>1</v>
      </c>
      <c r="AX548" t="s">
        <v>74</v>
      </c>
      <c r="AY548" t="s">
        <v>74</v>
      </c>
      <c r="AZ548" t="s">
        <v>74</v>
      </c>
      <c r="BA548" t="s">
        <v>74</v>
      </c>
      <c r="BB548">
        <v>29</v>
      </c>
      <c r="BC548">
        <v>34</v>
      </c>
      <c r="BD548" t="s">
        <v>74</v>
      </c>
      <c r="BE548" t="s">
        <v>8006</v>
      </c>
      <c r="BF548" t="str">
        <f>HYPERLINK("http://dx.doi.org/10.1128/JB.186.1.29-34.2004","http://dx.doi.org/10.1128/JB.186.1.29-34.2004")</f>
        <v>http://dx.doi.org/10.1128/JB.186.1.29-34.2004</v>
      </c>
      <c r="BG548" t="s">
        <v>74</v>
      </c>
      <c r="BH548" t="s">
        <v>74</v>
      </c>
      <c r="BI548">
        <v>6</v>
      </c>
      <c r="BJ548" t="s">
        <v>743</v>
      </c>
      <c r="BK548" t="s">
        <v>96</v>
      </c>
      <c r="BL548" t="s">
        <v>743</v>
      </c>
      <c r="BM548" t="s">
        <v>8007</v>
      </c>
      <c r="BN548">
        <v>14679221</v>
      </c>
      <c r="BO548" t="s">
        <v>479</v>
      </c>
      <c r="BP548" t="s">
        <v>74</v>
      </c>
      <c r="BQ548" t="s">
        <v>74</v>
      </c>
      <c r="BR548" t="s">
        <v>99</v>
      </c>
      <c r="BS548" t="s">
        <v>8008</v>
      </c>
      <c r="BT548" t="str">
        <f>HYPERLINK("https%3A%2F%2Fwww.webofscience.com%2Fwos%2Fwoscc%2Ffull-record%2FWOS:000187787400005","View Full Record in Web of Science")</f>
        <v>View Full Record in Web of Science</v>
      </c>
    </row>
    <row r="549" spans="1:72" x14ac:dyDescent="0.15">
      <c r="A549" t="s">
        <v>72</v>
      </c>
      <c r="B549" t="s">
        <v>8009</v>
      </c>
      <c r="C549" t="s">
        <v>74</v>
      </c>
      <c r="D549" t="s">
        <v>74</v>
      </c>
      <c r="E549" t="s">
        <v>74</v>
      </c>
      <c r="F549" t="s">
        <v>8009</v>
      </c>
      <c r="G549" t="s">
        <v>74</v>
      </c>
      <c r="H549" t="s">
        <v>74</v>
      </c>
      <c r="I549" t="s">
        <v>8010</v>
      </c>
      <c r="J549" t="s">
        <v>1558</v>
      </c>
      <c r="K549" t="s">
        <v>74</v>
      </c>
      <c r="L549" t="s">
        <v>74</v>
      </c>
      <c r="M549" t="s">
        <v>77</v>
      </c>
      <c r="N549" t="s">
        <v>78</v>
      </c>
      <c r="O549" t="s">
        <v>74</v>
      </c>
      <c r="P549" t="s">
        <v>74</v>
      </c>
      <c r="Q549" t="s">
        <v>74</v>
      </c>
      <c r="R549" t="s">
        <v>74</v>
      </c>
      <c r="S549" t="s">
        <v>74</v>
      </c>
      <c r="T549" t="s">
        <v>74</v>
      </c>
      <c r="U549" t="s">
        <v>8011</v>
      </c>
      <c r="V549" t="s">
        <v>8012</v>
      </c>
      <c r="W549" t="s">
        <v>8013</v>
      </c>
      <c r="X549" t="s">
        <v>8014</v>
      </c>
      <c r="Y549" t="s">
        <v>8015</v>
      </c>
      <c r="Z549" t="s">
        <v>74</v>
      </c>
      <c r="AA549" t="s">
        <v>8016</v>
      </c>
      <c r="AB549" t="s">
        <v>8017</v>
      </c>
      <c r="AC549" t="s">
        <v>74</v>
      </c>
      <c r="AD549" t="s">
        <v>74</v>
      </c>
      <c r="AE549" t="s">
        <v>74</v>
      </c>
      <c r="AF549" t="s">
        <v>74</v>
      </c>
      <c r="AG549">
        <v>16</v>
      </c>
      <c r="AH549">
        <v>55</v>
      </c>
      <c r="AI549">
        <v>58</v>
      </c>
      <c r="AJ549">
        <v>1</v>
      </c>
      <c r="AK549">
        <v>15</v>
      </c>
      <c r="AL549" t="s">
        <v>297</v>
      </c>
      <c r="AM549" t="s">
        <v>298</v>
      </c>
      <c r="AN549" t="s">
        <v>299</v>
      </c>
      <c r="AO549" t="s">
        <v>1568</v>
      </c>
      <c r="AP549" t="s">
        <v>74</v>
      </c>
      <c r="AQ549" t="s">
        <v>74</v>
      </c>
      <c r="AR549" t="s">
        <v>1570</v>
      </c>
      <c r="AS549" t="s">
        <v>1571</v>
      </c>
      <c r="AT549" t="s">
        <v>4117</v>
      </c>
      <c r="AU549">
        <v>2004</v>
      </c>
      <c r="AV549">
        <v>17</v>
      </c>
      <c r="AW549">
        <v>1</v>
      </c>
      <c r="AX549" t="s">
        <v>74</v>
      </c>
      <c r="AY549" t="s">
        <v>74</v>
      </c>
      <c r="AZ549" t="s">
        <v>74</v>
      </c>
      <c r="BA549" t="s">
        <v>74</v>
      </c>
      <c r="BB549">
        <v>21</v>
      </c>
      <c r="BC549">
        <v>33</v>
      </c>
      <c r="BD549" t="s">
        <v>74</v>
      </c>
      <c r="BE549" t="s">
        <v>8018</v>
      </c>
      <c r="BF549" t="str">
        <f>HYPERLINK("http://dx.doi.org/10.1175/1520-0442(2004)017&lt;0021:CIOAGD&gt;2.0.CO;2","http://dx.doi.org/10.1175/1520-0442(2004)017&lt;0021:CIOAGD&gt;2.0.CO;2")</f>
        <v>http://dx.doi.org/10.1175/1520-0442(2004)017&lt;0021:CIOAGD&gt;2.0.CO;2</v>
      </c>
      <c r="BG549" t="s">
        <v>74</v>
      </c>
      <c r="BH549" t="s">
        <v>74</v>
      </c>
      <c r="BI549">
        <v>13</v>
      </c>
      <c r="BJ549" t="s">
        <v>186</v>
      </c>
      <c r="BK549" t="s">
        <v>96</v>
      </c>
      <c r="BL549" t="s">
        <v>186</v>
      </c>
      <c r="BM549" t="s">
        <v>8019</v>
      </c>
      <c r="BN549" t="s">
        <v>74</v>
      </c>
      <c r="BO549" t="s">
        <v>516</v>
      </c>
      <c r="BP549" t="s">
        <v>74</v>
      </c>
      <c r="BQ549" t="s">
        <v>74</v>
      </c>
      <c r="BR549" t="s">
        <v>99</v>
      </c>
      <c r="BS549" t="s">
        <v>8020</v>
      </c>
      <c r="BT549" t="str">
        <f>HYPERLINK("https%3A%2F%2Fwww.webofscience.com%2Fwos%2Fwoscc%2Ffull-record%2FWOS:000187742400002","View Full Record in Web of Science")</f>
        <v>View Full Record in Web of Science</v>
      </c>
    </row>
    <row r="550" spans="1:72" x14ac:dyDescent="0.15">
      <c r="A550" t="s">
        <v>72</v>
      </c>
      <c r="B550" t="s">
        <v>8021</v>
      </c>
      <c r="C550" t="s">
        <v>74</v>
      </c>
      <c r="D550" t="s">
        <v>74</v>
      </c>
      <c r="E550" t="s">
        <v>74</v>
      </c>
      <c r="F550" t="s">
        <v>8021</v>
      </c>
      <c r="G550" t="s">
        <v>74</v>
      </c>
      <c r="H550" t="s">
        <v>74</v>
      </c>
      <c r="I550" t="s">
        <v>8022</v>
      </c>
      <c r="J550" t="s">
        <v>1558</v>
      </c>
      <c r="K550" t="s">
        <v>74</v>
      </c>
      <c r="L550" t="s">
        <v>74</v>
      </c>
      <c r="M550" t="s">
        <v>77</v>
      </c>
      <c r="N550" t="s">
        <v>78</v>
      </c>
      <c r="O550" t="s">
        <v>74</v>
      </c>
      <c r="P550" t="s">
        <v>74</v>
      </c>
      <c r="Q550" t="s">
        <v>74</v>
      </c>
      <c r="R550" t="s">
        <v>74</v>
      </c>
      <c r="S550" t="s">
        <v>74</v>
      </c>
      <c r="T550" t="s">
        <v>74</v>
      </c>
      <c r="U550" t="s">
        <v>8023</v>
      </c>
      <c r="V550" t="s">
        <v>8024</v>
      </c>
      <c r="W550" t="s">
        <v>8025</v>
      </c>
      <c r="X550" t="s">
        <v>3037</v>
      </c>
      <c r="Y550" t="s">
        <v>8026</v>
      </c>
      <c r="Z550" t="s">
        <v>74</v>
      </c>
      <c r="AA550" t="s">
        <v>3040</v>
      </c>
      <c r="AB550" t="s">
        <v>8027</v>
      </c>
      <c r="AC550" t="s">
        <v>74</v>
      </c>
      <c r="AD550" t="s">
        <v>74</v>
      </c>
      <c r="AE550" t="s">
        <v>74</v>
      </c>
      <c r="AF550" t="s">
        <v>74</v>
      </c>
      <c r="AG550">
        <v>54</v>
      </c>
      <c r="AH550">
        <v>61</v>
      </c>
      <c r="AI550">
        <v>68</v>
      </c>
      <c r="AJ550">
        <v>0</v>
      </c>
      <c r="AK550">
        <v>8</v>
      </c>
      <c r="AL550" t="s">
        <v>297</v>
      </c>
      <c r="AM550" t="s">
        <v>298</v>
      </c>
      <c r="AN550" t="s">
        <v>299</v>
      </c>
      <c r="AO550" t="s">
        <v>1568</v>
      </c>
      <c r="AP550" t="s">
        <v>74</v>
      </c>
      <c r="AQ550" t="s">
        <v>74</v>
      </c>
      <c r="AR550" t="s">
        <v>1570</v>
      </c>
      <c r="AS550" t="s">
        <v>1571</v>
      </c>
      <c r="AT550" t="s">
        <v>4117</v>
      </c>
      <c r="AU550">
        <v>2004</v>
      </c>
      <c r="AV550">
        <v>17</v>
      </c>
      <c r="AW550">
        <v>1</v>
      </c>
      <c r="AX550" t="s">
        <v>74</v>
      </c>
      <c r="AY550" t="s">
        <v>74</v>
      </c>
      <c r="AZ550" t="s">
        <v>74</v>
      </c>
      <c r="BA550" t="s">
        <v>74</v>
      </c>
      <c r="BB550">
        <v>109</v>
      </c>
      <c r="BC550">
        <v>132</v>
      </c>
      <c r="BD550" t="s">
        <v>74</v>
      </c>
      <c r="BE550" t="s">
        <v>8028</v>
      </c>
      <c r="BF550" t="str">
        <f>HYPERLINK("http://dx.doi.org/10.1175/1520-0442(2004)017&lt;0109:MTEMOA&gt;2.0.CO;2","http://dx.doi.org/10.1175/1520-0442(2004)017&lt;0109:MTEMOA&gt;2.0.CO;2")</f>
        <v>http://dx.doi.org/10.1175/1520-0442(2004)017&lt;0109:MTEMOA&gt;2.0.CO;2</v>
      </c>
      <c r="BG550" t="s">
        <v>74</v>
      </c>
      <c r="BH550" t="s">
        <v>74</v>
      </c>
      <c r="BI550">
        <v>24</v>
      </c>
      <c r="BJ550" t="s">
        <v>186</v>
      </c>
      <c r="BK550" t="s">
        <v>96</v>
      </c>
      <c r="BL550" t="s">
        <v>186</v>
      </c>
      <c r="BM550" t="s">
        <v>8019</v>
      </c>
      <c r="BN550" t="s">
        <v>74</v>
      </c>
      <c r="BO550" t="s">
        <v>541</v>
      </c>
      <c r="BP550" t="s">
        <v>74</v>
      </c>
      <c r="BQ550" t="s">
        <v>74</v>
      </c>
      <c r="BR550" t="s">
        <v>99</v>
      </c>
      <c r="BS550" t="s">
        <v>8029</v>
      </c>
      <c r="BT550" t="str">
        <f>HYPERLINK("https%3A%2F%2Fwww.webofscience.com%2Fwos%2Fwoscc%2Ffull-record%2FWOS:000187742400008","View Full Record in Web of Science")</f>
        <v>View Full Record in Web of Science</v>
      </c>
    </row>
    <row r="551" spans="1:72" x14ac:dyDescent="0.15">
      <c r="A551" t="s">
        <v>72</v>
      </c>
      <c r="B551" t="s">
        <v>8030</v>
      </c>
      <c r="C551" t="s">
        <v>74</v>
      </c>
      <c r="D551" t="s">
        <v>74</v>
      </c>
      <c r="E551" t="s">
        <v>74</v>
      </c>
      <c r="F551" t="s">
        <v>8030</v>
      </c>
      <c r="G551" t="s">
        <v>74</v>
      </c>
      <c r="H551" t="s">
        <v>74</v>
      </c>
      <c r="I551" t="s">
        <v>8031</v>
      </c>
      <c r="J551" t="s">
        <v>1558</v>
      </c>
      <c r="K551" t="s">
        <v>74</v>
      </c>
      <c r="L551" t="s">
        <v>74</v>
      </c>
      <c r="M551" t="s">
        <v>77</v>
      </c>
      <c r="N551" t="s">
        <v>78</v>
      </c>
      <c r="O551" t="s">
        <v>74</v>
      </c>
      <c r="P551" t="s">
        <v>74</v>
      </c>
      <c r="Q551" t="s">
        <v>74</v>
      </c>
      <c r="R551" t="s">
        <v>74</v>
      </c>
      <c r="S551" t="s">
        <v>74</v>
      </c>
      <c r="T551" t="s">
        <v>74</v>
      </c>
      <c r="U551" t="s">
        <v>8032</v>
      </c>
      <c r="V551" t="s">
        <v>8033</v>
      </c>
      <c r="W551" t="s">
        <v>8034</v>
      </c>
      <c r="X551" t="s">
        <v>8035</v>
      </c>
      <c r="Y551" t="s">
        <v>8036</v>
      </c>
      <c r="Z551" t="s">
        <v>8037</v>
      </c>
      <c r="AA551" t="s">
        <v>74</v>
      </c>
      <c r="AB551" t="s">
        <v>74</v>
      </c>
      <c r="AC551" t="s">
        <v>74</v>
      </c>
      <c r="AD551" t="s">
        <v>74</v>
      </c>
      <c r="AE551" t="s">
        <v>74</v>
      </c>
      <c r="AF551" t="s">
        <v>74</v>
      </c>
      <c r="AG551">
        <v>63</v>
      </c>
      <c r="AH551">
        <v>123</v>
      </c>
      <c r="AI551">
        <v>130</v>
      </c>
      <c r="AJ551">
        <v>1</v>
      </c>
      <c r="AK551">
        <v>32</v>
      </c>
      <c r="AL551" t="s">
        <v>297</v>
      </c>
      <c r="AM551" t="s">
        <v>298</v>
      </c>
      <c r="AN551" t="s">
        <v>299</v>
      </c>
      <c r="AO551" t="s">
        <v>1568</v>
      </c>
      <c r="AP551" t="s">
        <v>1569</v>
      </c>
      <c r="AQ551" t="s">
        <v>74</v>
      </c>
      <c r="AR551" t="s">
        <v>1570</v>
      </c>
      <c r="AS551" t="s">
        <v>1571</v>
      </c>
      <c r="AT551" t="s">
        <v>4117</v>
      </c>
      <c r="AU551">
        <v>2004</v>
      </c>
      <c r="AV551">
        <v>17</v>
      </c>
      <c r="AW551">
        <v>2</v>
      </c>
      <c r="AX551" t="s">
        <v>74</v>
      </c>
      <c r="AY551" t="s">
        <v>74</v>
      </c>
      <c r="AZ551" t="s">
        <v>74</v>
      </c>
      <c r="BA551" t="s">
        <v>74</v>
      </c>
      <c r="BB551">
        <v>245</v>
      </c>
      <c r="BC551">
        <v>265</v>
      </c>
      <c r="BD551" t="s">
        <v>74</v>
      </c>
      <c r="BE551" t="s">
        <v>8038</v>
      </c>
      <c r="BF551" t="str">
        <f>HYPERLINK("http://dx.doi.org/10.1175/1520-0442(2004)017&lt;0245:CGSOAV&gt;2.0.CO;2","http://dx.doi.org/10.1175/1520-0442(2004)017&lt;0245:CGSOAV&gt;2.0.CO;2")</f>
        <v>http://dx.doi.org/10.1175/1520-0442(2004)017&lt;0245:CGSOAV&gt;2.0.CO;2</v>
      </c>
      <c r="BG551" t="s">
        <v>74</v>
      </c>
      <c r="BH551" t="s">
        <v>74</v>
      </c>
      <c r="BI551">
        <v>21</v>
      </c>
      <c r="BJ551" t="s">
        <v>186</v>
      </c>
      <c r="BK551" t="s">
        <v>96</v>
      </c>
      <c r="BL551" t="s">
        <v>186</v>
      </c>
      <c r="BM551" t="s">
        <v>8039</v>
      </c>
      <c r="BN551" t="s">
        <v>74</v>
      </c>
      <c r="BO551" t="s">
        <v>541</v>
      </c>
      <c r="BP551" t="s">
        <v>74</v>
      </c>
      <c r="BQ551" t="s">
        <v>74</v>
      </c>
      <c r="BR551" t="s">
        <v>99</v>
      </c>
      <c r="BS551" t="s">
        <v>8040</v>
      </c>
      <c r="BT551" t="str">
        <f>HYPERLINK("https%3A%2F%2Fwww.webofscience.com%2Fwos%2Fwoscc%2Ffull-record%2FWOS:000188466900001","View Full Record in Web of Science")</f>
        <v>View Full Record in Web of Science</v>
      </c>
    </row>
    <row r="552" spans="1:72" x14ac:dyDescent="0.15">
      <c r="A552" t="s">
        <v>72</v>
      </c>
      <c r="B552" t="s">
        <v>8041</v>
      </c>
      <c r="C552" t="s">
        <v>74</v>
      </c>
      <c r="D552" t="s">
        <v>74</v>
      </c>
      <c r="E552" t="s">
        <v>74</v>
      </c>
      <c r="F552" t="s">
        <v>8041</v>
      </c>
      <c r="G552" t="s">
        <v>74</v>
      </c>
      <c r="H552" t="s">
        <v>74</v>
      </c>
      <c r="I552" t="s">
        <v>8042</v>
      </c>
      <c r="J552" t="s">
        <v>1558</v>
      </c>
      <c r="K552" t="s">
        <v>74</v>
      </c>
      <c r="L552" t="s">
        <v>74</v>
      </c>
      <c r="M552" t="s">
        <v>77</v>
      </c>
      <c r="N552" t="s">
        <v>78</v>
      </c>
      <c r="O552" t="s">
        <v>74</v>
      </c>
      <c r="P552" t="s">
        <v>74</v>
      </c>
      <c r="Q552" t="s">
        <v>74</v>
      </c>
      <c r="R552" t="s">
        <v>74</v>
      </c>
      <c r="S552" t="s">
        <v>74</v>
      </c>
      <c r="T552" t="s">
        <v>74</v>
      </c>
      <c r="U552" t="s">
        <v>8043</v>
      </c>
      <c r="V552" t="s">
        <v>8044</v>
      </c>
      <c r="W552" t="s">
        <v>8045</v>
      </c>
      <c r="X552" t="s">
        <v>4970</v>
      </c>
      <c r="Y552" t="s">
        <v>8046</v>
      </c>
      <c r="Z552" t="s">
        <v>8047</v>
      </c>
      <c r="AA552" t="s">
        <v>74</v>
      </c>
      <c r="AB552" t="s">
        <v>74</v>
      </c>
      <c r="AC552" t="s">
        <v>74</v>
      </c>
      <c r="AD552" t="s">
        <v>74</v>
      </c>
      <c r="AE552" t="s">
        <v>74</v>
      </c>
      <c r="AF552" t="s">
        <v>74</v>
      </c>
      <c r="AG552">
        <v>39</v>
      </c>
      <c r="AH552">
        <v>38</v>
      </c>
      <c r="AI552">
        <v>40</v>
      </c>
      <c r="AJ552">
        <v>1</v>
      </c>
      <c r="AK552">
        <v>22</v>
      </c>
      <c r="AL552" t="s">
        <v>297</v>
      </c>
      <c r="AM552" t="s">
        <v>298</v>
      </c>
      <c r="AN552" t="s">
        <v>299</v>
      </c>
      <c r="AO552" t="s">
        <v>1568</v>
      </c>
      <c r="AP552" t="s">
        <v>1569</v>
      </c>
      <c r="AQ552" t="s">
        <v>74</v>
      </c>
      <c r="AR552" t="s">
        <v>1570</v>
      </c>
      <c r="AS552" t="s">
        <v>1571</v>
      </c>
      <c r="AT552" t="s">
        <v>4117</v>
      </c>
      <c r="AU552">
        <v>2004</v>
      </c>
      <c r="AV552">
        <v>17</v>
      </c>
      <c r="AW552">
        <v>2</v>
      </c>
      <c r="AX552" t="s">
        <v>74</v>
      </c>
      <c r="AY552" t="s">
        <v>74</v>
      </c>
      <c r="AZ552" t="s">
        <v>74</v>
      </c>
      <c r="BA552" t="s">
        <v>74</v>
      </c>
      <c r="BB552">
        <v>266</v>
      </c>
      <c r="BC552">
        <v>275</v>
      </c>
      <c r="BD552" t="s">
        <v>74</v>
      </c>
      <c r="BE552" t="s">
        <v>8048</v>
      </c>
      <c r="BF552" t="str">
        <f>HYPERLINK("http://dx.doi.org/10.1175/1520-0442(2004)017&lt;0266:TOSRBC&gt;2.0.CO;2","http://dx.doi.org/10.1175/1520-0442(2004)017&lt;0266:TOSRBC&gt;2.0.CO;2")</f>
        <v>http://dx.doi.org/10.1175/1520-0442(2004)017&lt;0266:TOSRBC&gt;2.0.CO;2</v>
      </c>
      <c r="BG552" t="s">
        <v>74</v>
      </c>
      <c r="BH552" t="s">
        <v>74</v>
      </c>
      <c r="BI552">
        <v>10</v>
      </c>
      <c r="BJ552" t="s">
        <v>186</v>
      </c>
      <c r="BK552" t="s">
        <v>96</v>
      </c>
      <c r="BL552" t="s">
        <v>186</v>
      </c>
      <c r="BM552" t="s">
        <v>8039</v>
      </c>
      <c r="BN552" t="s">
        <v>74</v>
      </c>
      <c r="BO552" t="s">
        <v>516</v>
      </c>
      <c r="BP552" t="s">
        <v>74</v>
      </c>
      <c r="BQ552" t="s">
        <v>74</v>
      </c>
      <c r="BR552" t="s">
        <v>99</v>
      </c>
      <c r="BS552" t="s">
        <v>8049</v>
      </c>
      <c r="BT552" t="str">
        <f>HYPERLINK("https%3A%2F%2Fwww.webofscience.com%2Fwos%2Fwoscc%2Ffull-record%2FWOS:000188466900002","View Full Record in Web of Science")</f>
        <v>View Full Record in Web of Science</v>
      </c>
    </row>
    <row r="553" spans="1:72" x14ac:dyDescent="0.15">
      <c r="A553" t="s">
        <v>72</v>
      </c>
      <c r="B553" t="s">
        <v>8050</v>
      </c>
      <c r="C553" t="s">
        <v>74</v>
      </c>
      <c r="D553" t="s">
        <v>74</v>
      </c>
      <c r="E553" t="s">
        <v>74</v>
      </c>
      <c r="F553" t="s">
        <v>8050</v>
      </c>
      <c r="G553" t="s">
        <v>74</v>
      </c>
      <c r="H553" t="s">
        <v>74</v>
      </c>
      <c r="I553" t="s">
        <v>8051</v>
      </c>
      <c r="J553" t="s">
        <v>8052</v>
      </c>
      <c r="K553" t="s">
        <v>74</v>
      </c>
      <c r="L553" t="s">
        <v>74</v>
      </c>
      <c r="M553" t="s">
        <v>77</v>
      </c>
      <c r="N553" t="s">
        <v>78</v>
      </c>
      <c r="O553" t="s">
        <v>74</v>
      </c>
      <c r="P553" t="s">
        <v>74</v>
      </c>
      <c r="Q553" t="s">
        <v>74</v>
      </c>
      <c r="R553" t="s">
        <v>74</v>
      </c>
      <c r="S553" t="s">
        <v>74</v>
      </c>
      <c r="T553" t="s">
        <v>74</v>
      </c>
      <c r="U553" t="s">
        <v>8053</v>
      </c>
      <c r="V553" t="s">
        <v>8054</v>
      </c>
      <c r="W553" t="s">
        <v>8055</v>
      </c>
      <c r="X553" t="s">
        <v>8056</v>
      </c>
      <c r="Y553" t="s">
        <v>8057</v>
      </c>
      <c r="Z553" t="s">
        <v>7918</v>
      </c>
      <c r="AA553" t="s">
        <v>8058</v>
      </c>
      <c r="AB553" t="s">
        <v>8059</v>
      </c>
      <c r="AC553" t="s">
        <v>74</v>
      </c>
      <c r="AD553" t="s">
        <v>74</v>
      </c>
      <c r="AE553" t="s">
        <v>74</v>
      </c>
      <c r="AF553" t="s">
        <v>74</v>
      </c>
      <c r="AG553">
        <v>23</v>
      </c>
      <c r="AH553">
        <v>44</v>
      </c>
      <c r="AI553">
        <v>53</v>
      </c>
      <c r="AJ553">
        <v>0</v>
      </c>
      <c r="AK553">
        <v>20</v>
      </c>
      <c r="AL553" t="s">
        <v>7900</v>
      </c>
      <c r="AM553" t="s">
        <v>824</v>
      </c>
      <c r="AN553" t="s">
        <v>7901</v>
      </c>
      <c r="AO553" t="s">
        <v>8060</v>
      </c>
      <c r="AP553" t="s">
        <v>8061</v>
      </c>
      <c r="AQ553" t="s">
        <v>74</v>
      </c>
      <c r="AR553" t="s">
        <v>8062</v>
      </c>
      <c r="AS553" t="s">
        <v>8063</v>
      </c>
      <c r="AT553" t="s">
        <v>74</v>
      </c>
      <c r="AU553">
        <v>2004</v>
      </c>
      <c r="AV553">
        <v>6</v>
      </c>
      <c r="AW553">
        <v>4</v>
      </c>
      <c r="AX553" t="s">
        <v>74</v>
      </c>
      <c r="AY553" t="s">
        <v>74</v>
      </c>
      <c r="AZ553" t="s">
        <v>74</v>
      </c>
      <c r="BA553" t="s">
        <v>74</v>
      </c>
      <c r="BB553">
        <v>322</v>
      </c>
      <c r="BC553">
        <v>326</v>
      </c>
      <c r="BD553" t="s">
        <v>74</v>
      </c>
      <c r="BE553" t="s">
        <v>8064</v>
      </c>
      <c r="BF553" t="str">
        <f>HYPERLINK("http://dx.doi.org/10.1039/b314251e","http://dx.doi.org/10.1039/b314251e")</f>
        <v>http://dx.doi.org/10.1039/b314251e</v>
      </c>
      <c r="BG553" t="s">
        <v>74</v>
      </c>
      <c r="BH553" t="s">
        <v>74</v>
      </c>
      <c r="BI553">
        <v>5</v>
      </c>
      <c r="BJ553" t="s">
        <v>7068</v>
      </c>
      <c r="BK553" t="s">
        <v>96</v>
      </c>
      <c r="BL553" t="s">
        <v>7069</v>
      </c>
      <c r="BM553" t="s">
        <v>8065</v>
      </c>
      <c r="BN553">
        <v>15054541</v>
      </c>
      <c r="BO553" t="s">
        <v>74</v>
      </c>
      <c r="BP553" t="s">
        <v>74</v>
      </c>
      <c r="BQ553" t="s">
        <v>74</v>
      </c>
      <c r="BR553" t="s">
        <v>99</v>
      </c>
      <c r="BS553" t="s">
        <v>8066</v>
      </c>
      <c r="BT553" t="str">
        <f>HYPERLINK("https%3A%2F%2Fwww.webofscience.com%2Fwos%2Fwoscc%2Ffull-record%2FWOS:000220529600013","View Full Record in Web of Science")</f>
        <v>View Full Record in Web of Science</v>
      </c>
    </row>
    <row r="554" spans="1:72" x14ac:dyDescent="0.15">
      <c r="A554" t="s">
        <v>72</v>
      </c>
      <c r="B554" t="s">
        <v>8067</v>
      </c>
      <c r="C554" t="s">
        <v>74</v>
      </c>
      <c r="D554" t="s">
        <v>74</v>
      </c>
      <c r="E554" t="s">
        <v>74</v>
      </c>
      <c r="F554" t="s">
        <v>8067</v>
      </c>
      <c r="G554" t="s">
        <v>74</v>
      </c>
      <c r="H554" t="s">
        <v>74</v>
      </c>
      <c r="I554" t="s">
        <v>8068</v>
      </c>
      <c r="J554" t="s">
        <v>8052</v>
      </c>
      <c r="K554" t="s">
        <v>74</v>
      </c>
      <c r="L554" t="s">
        <v>74</v>
      </c>
      <c r="M554" t="s">
        <v>77</v>
      </c>
      <c r="N554" t="s">
        <v>311</v>
      </c>
      <c r="O554" t="s">
        <v>8069</v>
      </c>
      <c r="P554" t="s">
        <v>8070</v>
      </c>
      <c r="Q554" t="s">
        <v>8071</v>
      </c>
      <c r="R554" t="s">
        <v>74</v>
      </c>
      <c r="S554" t="s">
        <v>74</v>
      </c>
      <c r="T554" t="s">
        <v>74</v>
      </c>
      <c r="U554" t="s">
        <v>8072</v>
      </c>
      <c r="V554" t="s">
        <v>8073</v>
      </c>
      <c r="W554" t="s">
        <v>8074</v>
      </c>
      <c r="X554" t="s">
        <v>8075</v>
      </c>
      <c r="Y554" t="s">
        <v>8076</v>
      </c>
      <c r="Z554" t="s">
        <v>8077</v>
      </c>
      <c r="AA554" t="s">
        <v>8078</v>
      </c>
      <c r="AB554" t="s">
        <v>8079</v>
      </c>
      <c r="AC554" t="s">
        <v>74</v>
      </c>
      <c r="AD554" t="s">
        <v>74</v>
      </c>
      <c r="AE554" t="s">
        <v>74</v>
      </c>
      <c r="AF554" t="s">
        <v>74</v>
      </c>
      <c r="AG554">
        <v>35</v>
      </c>
      <c r="AH554">
        <v>33</v>
      </c>
      <c r="AI554">
        <v>34</v>
      </c>
      <c r="AJ554">
        <v>2</v>
      </c>
      <c r="AK554">
        <v>12</v>
      </c>
      <c r="AL554" t="s">
        <v>7900</v>
      </c>
      <c r="AM554" t="s">
        <v>824</v>
      </c>
      <c r="AN554" t="s">
        <v>7901</v>
      </c>
      <c r="AO554" t="s">
        <v>8060</v>
      </c>
      <c r="AP554" t="s">
        <v>74</v>
      </c>
      <c r="AQ554" t="s">
        <v>74</v>
      </c>
      <c r="AR554" t="s">
        <v>8062</v>
      </c>
      <c r="AS554" t="s">
        <v>8063</v>
      </c>
      <c r="AT554" t="s">
        <v>74</v>
      </c>
      <c r="AU554">
        <v>2004</v>
      </c>
      <c r="AV554">
        <v>6</v>
      </c>
      <c r="AW554">
        <v>5</v>
      </c>
      <c r="AX554" t="s">
        <v>74</v>
      </c>
      <c r="AY554" t="s">
        <v>74</v>
      </c>
      <c r="AZ554" t="s">
        <v>74</v>
      </c>
      <c r="BA554" t="s">
        <v>74</v>
      </c>
      <c r="BB554">
        <v>448</v>
      </c>
      <c r="BC554">
        <v>456</v>
      </c>
      <c r="BD554" t="s">
        <v>74</v>
      </c>
      <c r="BE554" t="s">
        <v>8080</v>
      </c>
      <c r="BF554" t="str">
        <f>HYPERLINK("http://dx.doi.org/10.1039/b314947a","http://dx.doi.org/10.1039/b314947a")</f>
        <v>http://dx.doi.org/10.1039/b314947a</v>
      </c>
      <c r="BG554" t="s">
        <v>74</v>
      </c>
      <c r="BH554" t="s">
        <v>74</v>
      </c>
      <c r="BI554">
        <v>9</v>
      </c>
      <c r="BJ554" t="s">
        <v>7068</v>
      </c>
      <c r="BK554" t="s">
        <v>1116</v>
      </c>
      <c r="BL554" t="s">
        <v>7069</v>
      </c>
      <c r="BM554" t="s">
        <v>8081</v>
      </c>
      <c r="BN554">
        <v>15152314</v>
      </c>
      <c r="BO554" t="s">
        <v>74</v>
      </c>
      <c r="BP554" t="s">
        <v>74</v>
      </c>
      <c r="BQ554" t="s">
        <v>74</v>
      </c>
      <c r="BR554" t="s">
        <v>99</v>
      </c>
      <c r="BS554" t="s">
        <v>8082</v>
      </c>
      <c r="BT554" t="str">
        <f>HYPERLINK("https%3A%2F%2Fwww.webofscience.com%2Fwos%2Fwoscc%2Ffull-record%2FWOS:000221507000013","View Full Record in Web of Science")</f>
        <v>View Full Record in Web of Science</v>
      </c>
    </row>
    <row r="555" spans="1:72" x14ac:dyDescent="0.15">
      <c r="A555" t="s">
        <v>72</v>
      </c>
      <c r="B555" t="s">
        <v>8083</v>
      </c>
      <c r="C555" t="s">
        <v>74</v>
      </c>
      <c r="D555" t="s">
        <v>74</v>
      </c>
      <c r="E555" t="s">
        <v>74</v>
      </c>
      <c r="F555" t="s">
        <v>8083</v>
      </c>
      <c r="G555" t="s">
        <v>74</v>
      </c>
      <c r="H555" t="s">
        <v>74</v>
      </c>
      <c r="I555" t="s">
        <v>8084</v>
      </c>
      <c r="J555" t="s">
        <v>8085</v>
      </c>
      <c r="K555" t="s">
        <v>74</v>
      </c>
      <c r="L555" t="s">
        <v>74</v>
      </c>
      <c r="M555" t="s">
        <v>77</v>
      </c>
      <c r="N555" t="s">
        <v>78</v>
      </c>
      <c r="O555" t="s">
        <v>74</v>
      </c>
      <c r="P555" t="s">
        <v>74</v>
      </c>
      <c r="Q555" t="s">
        <v>74</v>
      </c>
      <c r="R555" t="s">
        <v>74</v>
      </c>
      <c r="S555" t="s">
        <v>74</v>
      </c>
      <c r="T555" t="s">
        <v>8086</v>
      </c>
      <c r="U555" t="s">
        <v>8087</v>
      </c>
      <c r="V555" t="s">
        <v>8088</v>
      </c>
      <c r="W555" t="s">
        <v>8089</v>
      </c>
      <c r="X555" t="s">
        <v>8090</v>
      </c>
      <c r="Y555" t="s">
        <v>8091</v>
      </c>
      <c r="Z555" t="s">
        <v>74</v>
      </c>
      <c r="AA555" t="s">
        <v>74</v>
      </c>
      <c r="AB555" t="s">
        <v>74</v>
      </c>
      <c r="AC555" t="s">
        <v>74</v>
      </c>
      <c r="AD555" t="s">
        <v>74</v>
      </c>
      <c r="AE555" t="s">
        <v>74</v>
      </c>
      <c r="AF555" t="s">
        <v>74</v>
      </c>
      <c r="AG555">
        <v>29</v>
      </c>
      <c r="AH555">
        <v>40</v>
      </c>
      <c r="AI555">
        <v>40</v>
      </c>
      <c r="AJ555">
        <v>0</v>
      </c>
      <c r="AK555">
        <v>11</v>
      </c>
      <c r="AL555" t="s">
        <v>2105</v>
      </c>
      <c r="AM555" t="s">
        <v>214</v>
      </c>
      <c r="AN555" t="s">
        <v>2106</v>
      </c>
      <c r="AO555" t="s">
        <v>8092</v>
      </c>
      <c r="AP555" t="s">
        <v>74</v>
      </c>
      <c r="AQ555" t="s">
        <v>74</v>
      </c>
      <c r="AR555" t="s">
        <v>8093</v>
      </c>
      <c r="AS555" t="s">
        <v>8094</v>
      </c>
      <c r="AT555" t="s">
        <v>74</v>
      </c>
      <c r="AU555">
        <v>2004</v>
      </c>
      <c r="AV555">
        <v>71</v>
      </c>
      <c r="AW555">
        <v>1</v>
      </c>
      <c r="AX555" t="s">
        <v>74</v>
      </c>
      <c r="AY555" t="s">
        <v>74</v>
      </c>
      <c r="AZ555" t="s">
        <v>74</v>
      </c>
      <c r="BA555" t="s">
        <v>74</v>
      </c>
      <c r="BB555">
        <v>43</v>
      </c>
      <c r="BC555">
        <v>60</v>
      </c>
      <c r="BD555" t="s">
        <v>74</v>
      </c>
      <c r="BE555" t="s">
        <v>8095</v>
      </c>
      <c r="BF555" t="str">
        <f>HYPERLINK("http://dx.doi.org/10.1016/S0265-931X(03)00140-1","http://dx.doi.org/10.1016/S0265-931X(03)00140-1")</f>
        <v>http://dx.doi.org/10.1016/S0265-931X(03)00140-1</v>
      </c>
      <c r="BG555" t="s">
        <v>74</v>
      </c>
      <c r="BH555" t="s">
        <v>74</v>
      </c>
      <c r="BI555">
        <v>18</v>
      </c>
      <c r="BJ555" t="s">
        <v>1154</v>
      </c>
      <c r="BK555" t="s">
        <v>96</v>
      </c>
      <c r="BL555" t="s">
        <v>144</v>
      </c>
      <c r="BM555" t="s">
        <v>8096</v>
      </c>
      <c r="BN555">
        <v>14557036</v>
      </c>
      <c r="BO555" t="s">
        <v>74</v>
      </c>
      <c r="BP555" t="s">
        <v>74</v>
      </c>
      <c r="BQ555" t="s">
        <v>74</v>
      </c>
      <c r="BR555" t="s">
        <v>99</v>
      </c>
      <c r="BS555" t="s">
        <v>8097</v>
      </c>
      <c r="BT555" t="str">
        <f>HYPERLINK("https%3A%2F%2Fwww.webofscience.com%2Fwos%2Fwoscc%2Ffull-record%2FWOS:000187714000004","View Full Record in Web of Science")</f>
        <v>View Full Record in Web of Science</v>
      </c>
    </row>
    <row r="556" spans="1:72" x14ac:dyDescent="0.15">
      <c r="A556" t="s">
        <v>72</v>
      </c>
      <c r="B556" t="s">
        <v>8098</v>
      </c>
      <c r="C556" t="s">
        <v>74</v>
      </c>
      <c r="D556" t="s">
        <v>74</v>
      </c>
      <c r="E556" t="s">
        <v>74</v>
      </c>
      <c r="F556" t="s">
        <v>8098</v>
      </c>
      <c r="G556" t="s">
        <v>74</v>
      </c>
      <c r="H556" t="s">
        <v>74</v>
      </c>
      <c r="I556" t="s">
        <v>8099</v>
      </c>
      <c r="J556" t="s">
        <v>8100</v>
      </c>
      <c r="K556" t="s">
        <v>74</v>
      </c>
      <c r="L556" t="s">
        <v>74</v>
      </c>
      <c r="M556" t="s">
        <v>77</v>
      </c>
      <c r="N556" t="s">
        <v>78</v>
      </c>
      <c r="O556" t="s">
        <v>74</v>
      </c>
      <c r="P556" t="s">
        <v>74</v>
      </c>
      <c r="Q556" t="s">
        <v>74</v>
      </c>
      <c r="R556" t="s">
        <v>74</v>
      </c>
      <c r="S556" t="s">
        <v>74</v>
      </c>
      <c r="T556" t="s">
        <v>8101</v>
      </c>
      <c r="U556" t="s">
        <v>8102</v>
      </c>
      <c r="V556" t="s">
        <v>8103</v>
      </c>
      <c r="W556" t="s">
        <v>8104</v>
      </c>
      <c r="X556" t="s">
        <v>8105</v>
      </c>
      <c r="Y556" t="s">
        <v>8106</v>
      </c>
      <c r="Z556" t="s">
        <v>8107</v>
      </c>
      <c r="AA556" t="s">
        <v>8108</v>
      </c>
      <c r="AB556" t="s">
        <v>8109</v>
      </c>
      <c r="AC556" t="s">
        <v>74</v>
      </c>
      <c r="AD556" t="s">
        <v>74</v>
      </c>
      <c r="AE556" t="s">
        <v>74</v>
      </c>
      <c r="AF556" t="s">
        <v>74</v>
      </c>
      <c r="AG556">
        <v>49</v>
      </c>
      <c r="AH556">
        <v>6</v>
      </c>
      <c r="AI556">
        <v>8</v>
      </c>
      <c r="AJ556">
        <v>1</v>
      </c>
      <c r="AK556">
        <v>10</v>
      </c>
      <c r="AL556" t="s">
        <v>8110</v>
      </c>
      <c r="AM556" t="s">
        <v>1721</v>
      </c>
      <c r="AN556" t="s">
        <v>8111</v>
      </c>
      <c r="AO556" t="s">
        <v>8112</v>
      </c>
      <c r="AP556" t="s">
        <v>8113</v>
      </c>
      <c r="AQ556" t="s">
        <v>74</v>
      </c>
      <c r="AR556" t="s">
        <v>8114</v>
      </c>
      <c r="AS556" t="s">
        <v>8115</v>
      </c>
      <c r="AT556" t="s">
        <v>4117</v>
      </c>
      <c r="AU556">
        <v>2004</v>
      </c>
      <c r="AV556">
        <v>22</v>
      </c>
      <c r="AW556">
        <v>1</v>
      </c>
      <c r="AX556" t="s">
        <v>74</v>
      </c>
      <c r="AY556" t="s">
        <v>74</v>
      </c>
      <c r="AZ556" t="s">
        <v>74</v>
      </c>
      <c r="BA556" t="s">
        <v>74</v>
      </c>
      <c r="BB556">
        <v>91</v>
      </c>
      <c r="BC556">
        <v>98</v>
      </c>
      <c r="BD556" t="s">
        <v>74</v>
      </c>
      <c r="BE556" t="s">
        <v>8116</v>
      </c>
      <c r="BF556" t="str">
        <f>HYPERLINK("http://dx.doi.org/10.1007/s10164-003-0108-9","http://dx.doi.org/10.1007/s10164-003-0108-9")</f>
        <v>http://dx.doi.org/10.1007/s10164-003-0108-9</v>
      </c>
      <c r="BG556" t="s">
        <v>74</v>
      </c>
      <c r="BH556" t="s">
        <v>74</v>
      </c>
      <c r="BI556">
        <v>8</v>
      </c>
      <c r="BJ556" t="s">
        <v>8117</v>
      </c>
      <c r="BK556" t="s">
        <v>96</v>
      </c>
      <c r="BL556" t="s">
        <v>8117</v>
      </c>
      <c r="BM556" t="s">
        <v>8118</v>
      </c>
      <c r="BN556" t="s">
        <v>74</v>
      </c>
      <c r="BO556" t="s">
        <v>74</v>
      </c>
      <c r="BP556" t="s">
        <v>74</v>
      </c>
      <c r="BQ556" t="s">
        <v>74</v>
      </c>
      <c r="BR556" t="s">
        <v>99</v>
      </c>
      <c r="BS556" t="s">
        <v>8119</v>
      </c>
      <c r="BT556" t="str">
        <f>HYPERLINK("https%3A%2F%2Fwww.webofscience.com%2Fwos%2Fwoscc%2Ffull-record%2FWOS:000188385800014","View Full Record in Web of Science")</f>
        <v>View Full Record in Web of Science</v>
      </c>
    </row>
    <row r="557" spans="1:72" x14ac:dyDescent="0.15">
      <c r="A557" t="s">
        <v>72</v>
      </c>
      <c r="B557" t="s">
        <v>8120</v>
      </c>
      <c r="C557" t="s">
        <v>74</v>
      </c>
      <c r="D557" t="s">
        <v>74</v>
      </c>
      <c r="E557" t="s">
        <v>74</v>
      </c>
      <c r="F557" t="s">
        <v>8120</v>
      </c>
      <c r="G557" t="s">
        <v>74</v>
      </c>
      <c r="H557" t="s">
        <v>74</v>
      </c>
      <c r="I557" t="s">
        <v>8121</v>
      </c>
      <c r="J557" t="s">
        <v>8122</v>
      </c>
      <c r="K557" t="s">
        <v>74</v>
      </c>
      <c r="L557" t="s">
        <v>74</v>
      </c>
      <c r="M557" t="s">
        <v>77</v>
      </c>
      <c r="N557" t="s">
        <v>78</v>
      </c>
      <c r="O557" t="s">
        <v>74</v>
      </c>
      <c r="P557" t="s">
        <v>74</v>
      </c>
      <c r="Q557" t="s">
        <v>74</v>
      </c>
      <c r="R557" t="s">
        <v>74</v>
      </c>
      <c r="S557" t="s">
        <v>74</v>
      </c>
      <c r="T557" t="s">
        <v>74</v>
      </c>
      <c r="U557" t="s">
        <v>8123</v>
      </c>
      <c r="V557" t="s">
        <v>8124</v>
      </c>
      <c r="W557" t="s">
        <v>8125</v>
      </c>
      <c r="X557" t="s">
        <v>8126</v>
      </c>
      <c r="Y557" t="s">
        <v>8127</v>
      </c>
      <c r="Z557" t="s">
        <v>8128</v>
      </c>
      <c r="AA557" t="s">
        <v>8129</v>
      </c>
      <c r="AB557" t="s">
        <v>8130</v>
      </c>
      <c r="AC557" t="s">
        <v>8131</v>
      </c>
      <c r="AD557" t="s">
        <v>1436</v>
      </c>
      <c r="AE557" t="s">
        <v>74</v>
      </c>
      <c r="AF557" t="s">
        <v>74</v>
      </c>
      <c r="AG557">
        <v>37</v>
      </c>
      <c r="AH557">
        <v>24</v>
      </c>
      <c r="AI557">
        <v>30</v>
      </c>
      <c r="AJ557">
        <v>0</v>
      </c>
      <c r="AK557">
        <v>5</v>
      </c>
      <c r="AL557" t="s">
        <v>136</v>
      </c>
      <c r="AM557" t="s">
        <v>824</v>
      </c>
      <c r="AN557" t="s">
        <v>8132</v>
      </c>
      <c r="AO557" t="s">
        <v>8133</v>
      </c>
      <c r="AP557" t="s">
        <v>8134</v>
      </c>
      <c r="AQ557" t="s">
        <v>74</v>
      </c>
      <c r="AR557" t="s">
        <v>8135</v>
      </c>
      <c r="AS557" t="s">
        <v>8136</v>
      </c>
      <c r="AT557" t="s">
        <v>74</v>
      </c>
      <c r="AU557">
        <v>2004</v>
      </c>
      <c r="AV557">
        <v>50</v>
      </c>
      <c r="AW557">
        <v>169</v>
      </c>
      <c r="AX557" t="s">
        <v>74</v>
      </c>
      <c r="AY557" t="s">
        <v>74</v>
      </c>
      <c r="AZ557" t="s">
        <v>74</v>
      </c>
      <c r="BA557" t="s">
        <v>74</v>
      </c>
      <c r="BB557">
        <v>171</v>
      </c>
      <c r="BC557">
        <v>182</v>
      </c>
      <c r="BD557" t="s">
        <v>74</v>
      </c>
      <c r="BE557" t="s">
        <v>8137</v>
      </c>
      <c r="BF557" t="str">
        <f>HYPERLINK("http://dx.doi.org/10.3189/172756504781830187","http://dx.doi.org/10.3189/172756504781830187")</f>
        <v>http://dx.doi.org/10.3189/172756504781830187</v>
      </c>
      <c r="BG557" t="s">
        <v>74</v>
      </c>
      <c r="BH557" t="s">
        <v>74</v>
      </c>
      <c r="BI557">
        <v>12</v>
      </c>
      <c r="BJ557" t="s">
        <v>1400</v>
      </c>
      <c r="BK557" t="s">
        <v>96</v>
      </c>
      <c r="BL557" t="s">
        <v>1401</v>
      </c>
      <c r="BM557" t="s">
        <v>8138</v>
      </c>
      <c r="BN557" t="s">
        <v>74</v>
      </c>
      <c r="BO557" t="s">
        <v>541</v>
      </c>
      <c r="BP557" t="s">
        <v>74</v>
      </c>
      <c r="BQ557" t="s">
        <v>74</v>
      </c>
      <c r="BR557" t="s">
        <v>99</v>
      </c>
      <c r="BS557" t="s">
        <v>8139</v>
      </c>
      <c r="BT557" t="str">
        <f>HYPERLINK("https%3A%2F%2Fwww.webofscience.com%2Fwos%2Fwoscc%2Ffull-record%2FWOS:000227720900002","View Full Record in Web of Science")</f>
        <v>View Full Record in Web of Science</v>
      </c>
    </row>
    <row r="558" spans="1:72" x14ac:dyDescent="0.15">
      <c r="A558" t="s">
        <v>72</v>
      </c>
      <c r="B558" t="s">
        <v>8140</v>
      </c>
      <c r="C558" t="s">
        <v>74</v>
      </c>
      <c r="D558" t="s">
        <v>74</v>
      </c>
      <c r="E558" t="s">
        <v>74</v>
      </c>
      <c r="F558" t="s">
        <v>8140</v>
      </c>
      <c r="G558" t="s">
        <v>74</v>
      </c>
      <c r="H558" t="s">
        <v>74</v>
      </c>
      <c r="I558" t="s">
        <v>8141</v>
      </c>
      <c r="J558" t="s">
        <v>8122</v>
      </c>
      <c r="K558" t="s">
        <v>74</v>
      </c>
      <c r="L558" t="s">
        <v>74</v>
      </c>
      <c r="M558" t="s">
        <v>77</v>
      </c>
      <c r="N558" t="s">
        <v>78</v>
      </c>
      <c r="O558" t="s">
        <v>74</v>
      </c>
      <c r="P558" t="s">
        <v>74</v>
      </c>
      <c r="Q558" t="s">
        <v>74</v>
      </c>
      <c r="R558" t="s">
        <v>74</v>
      </c>
      <c r="S558" t="s">
        <v>74</v>
      </c>
      <c r="T558" t="s">
        <v>74</v>
      </c>
      <c r="U558" t="s">
        <v>8142</v>
      </c>
      <c r="V558" t="s">
        <v>8143</v>
      </c>
      <c r="W558" t="s">
        <v>8144</v>
      </c>
      <c r="X558" t="s">
        <v>8145</v>
      </c>
      <c r="Y558" t="s">
        <v>8146</v>
      </c>
      <c r="Z558" t="s">
        <v>8147</v>
      </c>
      <c r="AA558" t="s">
        <v>74</v>
      </c>
      <c r="AB558" t="s">
        <v>74</v>
      </c>
      <c r="AC558" t="s">
        <v>74</v>
      </c>
      <c r="AD558" t="s">
        <v>74</v>
      </c>
      <c r="AE558" t="s">
        <v>74</v>
      </c>
      <c r="AF558" t="s">
        <v>74</v>
      </c>
      <c r="AG558">
        <v>26</v>
      </c>
      <c r="AH558">
        <v>17</v>
      </c>
      <c r="AI558">
        <v>22</v>
      </c>
      <c r="AJ558">
        <v>0</v>
      </c>
      <c r="AK558">
        <v>4</v>
      </c>
      <c r="AL558" t="s">
        <v>136</v>
      </c>
      <c r="AM558" t="s">
        <v>824</v>
      </c>
      <c r="AN558" t="s">
        <v>8132</v>
      </c>
      <c r="AO558" t="s">
        <v>8133</v>
      </c>
      <c r="AP558" t="s">
        <v>8134</v>
      </c>
      <c r="AQ558" t="s">
        <v>74</v>
      </c>
      <c r="AR558" t="s">
        <v>8135</v>
      </c>
      <c r="AS558" t="s">
        <v>8136</v>
      </c>
      <c r="AT558" t="s">
        <v>74</v>
      </c>
      <c r="AU558">
        <v>2004</v>
      </c>
      <c r="AV558">
        <v>50</v>
      </c>
      <c r="AW558">
        <v>169</v>
      </c>
      <c r="AX558" t="s">
        <v>74</v>
      </c>
      <c r="AY558" t="s">
        <v>74</v>
      </c>
      <c r="AZ558" t="s">
        <v>74</v>
      </c>
      <c r="BA558" t="s">
        <v>74</v>
      </c>
      <c r="BB558">
        <v>219</v>
      </c>
      <c r="BC558">
        <v>230</v>
      </c>
      <c r="BD558" t="s">
        <v>74</v>
      </c>
      <c r="BE558" t="s">
        <v>8148</v>
      </c>
      <c r="BF558" t="str">
        <f>HYPERLINK("http://dx.doi.org/10.3189/172756504781830042","http://dx.doi.org/10.3189/172756504781830042")</f>
        <v>http://dx.doi.org/10.3189/172756504781830042</v>
      </c>
      <c r="BG558" t="s">
        <v>74</v>
      </c>
      <c r="BH558" t="s">
        <v>74</v>
      </c>
      <c r="BI558">
        <v>12</v>
      </c>
      <c r="BJ558" t="s">
        <v>1400</v>
      </c>
      <c r="BK558" t="s">
        <v>96</v>
      </c>
      <c r="BL558" t="s">
        <v>1401</v>
      </c>
      <c r="BM558" t="s">
        <v>8138</v>
      </c>
      <c r="BN558" t="s">
        <v>74</v>
      </c>
      <c r="BO558" t="s">
        <v>541</v>
      </c>
      <c r="BP558" t="s">
        <v>74</v>
      </c>
      <c r="BQ558" t="s">
        <v>74</v>
      </c>
      <c r="BR558" t="s">
        <v>99</v>
      </c>
      <c r="BS558" t="s">
        <v>8149</v>
      </c>
      <c r="BT558" t="str">
        <f>HYPERLINK("https%3A%2F%2Fwww.webofscience.com%2Fwos%2Fwoscc%2Ffull-record%2FWOS:000227720900006","View Full Record in Web of Science")</f>
        <v>View Full Record in Web of Science</v>
      </c>
    </row>
    <row r="559" spans="1:72" x14ac:dyDescent="0.15">
      <c r="A559" t="s">
        <v>72</v>
      </c>
      <c r="B559" t="s">
        <v>4538</v>
      </c>
      <c r="C559" t="s">
        <v>74</v>
      </c>
      <c r="D559" t="s">
        <v>74</v>
      </c>
      <c r="E559" t="s">
        <v>74</v>
      </c>
      <c r="F559" t="s">
        <v>4538</v>
      </c>
      <c r="G559" t="s">
        <v>74</v>
      </c>
      <c r="H559" t="s">
        <v>74</v>
      </c>
      <c r="I559" t="s">
        <v>8150</v>
      </c>
      <c r="J559" t="s">
        <v>8122</v>
      </c>
      <c r="K559" t="s">
        <v>74</v>
      </c>
      <c r="L559" t="s">
        <v>74</v>
      </c>
      <c r="M559" t="s">
        <v>77</v>
      </c>
      <c r="N559" t="s">
        <v>78</v>
      </c>
      <c r="O559" t="s">
        <v>74</v>
      </c>
      <c r="P559" t="s">
        <v>74</v>
      </c>
      <c r="Q559" t="s">
        <v>74</v>
      </c>
      <c r="R559" t="s">
        <v>74</v>
      </c>
      <c r="S559" t="s">
        <v>74</v>
      </c>
      <c r="T559" t="s">
        <v>74</v>
      </c>
      <c r="U559" t="s">
        <v>8151</v>
      </c>
      <c r="V559" t="s">
        <v>8152</v>
      </c>
      <c r="W559" t="s">
        <v>4542</v>
      </c>
      <c r="X559" t="s">
        <v>4543</v>
      </c>
      <c r="Y559" t="s">
        <v>8153</v>
      </c>
      <c r="Z559" t="s">
        <v>8154</v>
      </c>
      <c r="AA559" t="s">
        <v>74</v>
      </c>
      <c r="AB559" t="s">
        <v>74</v>
      </c>
      <c r="AC559" t="s">
        <v>74</v>
      </c>
      <c r="AD559" t="s">
        <v>74</v>
      </c>
      <c r="AE559" t="s">
        <v>74</v>
      </c>
      <c r="AF559" t="s">
        <v>74</v>
      </c>
      <c r="AG559">
        <v>43</v>
      </c>
      <c r="AH559">
        <v>64</v>
      </c>
      <c r="AI559">
        <v>75</v>
      </c>
      <c r="AJ559">
        <v>0</v>
      </c>
      <c r="AK559">
        <v>18</v>
      </c>
      <c r="AL559" t="s">
        <v>136</v>
      </c>
      <c r="AM559" t="s">
        <v>824</v>
      </c>
      <c r="AN559" t="s">
        <v>8132</v>
      </c>
      <c r="AO559" t="s">
        <v>8133</v>
      </c>
      <c r="AP559" t="s">
        <v>8134</v>
      </c>
      <c r="AQ559" t="s">
        <v>74</v>
      </c>
      <c r="AR559" t="s">
        <v>8135</v>
      </c>
      <c r="AS559" t="s">
        <v>8136</v>
      </c>
      <c r="AT559" t="s">
        <v>74</v>
      </c>
      <c r="AU559">
        <v>2004</v>
      </c>
      <c r="AV559">
        <v>50</v>
      </c>
      <c r="AW559">
        <v>169</v>
      </c>
      <c r="AX559" t="s">
        <v>74</v>
      </c>
      <c r="AY559" t="s">
        <v>74</v>
      </c>
      <c r="AZ559" t="s">
        <v>74</v>
      </c>
      <c r="BA559" t="s">
        <v>74</v>
      </c>
      <c r="BB559">
        <v>251</v>
      </c>
      <c r="BC559">
        <v>256</v>
      </c>
      <c r="BD559" t="s">
        <v>74</v>
      </c>
      <c r="BE559" t="s">
        <v>8155</v>
      </c>
      <c r="BF559" t="str">
        <f>HYPERLINK("http://dx.doi.org/10.3189/172756504781830105","http://dx.doi.org/10.3189/172756504781830105")</f>
        <v>http://dx.doi.org/10.3189/172756504781830105</v>
      </c>
      <c r="BG559" t="s">
        <v>74</v>
      </c>
      <c r="BH559" t="s">
        <v>74</v>
      </c>
      <c r="BI559">
        <v>6</v>
      </c>
      <c r="BJ559" t="s">
        <v>1400</v>
      </c>
      <c r="BK559" t="s">
        <v>96</v>
      </c>
      <c r="BL559" t="s">
        <v>1401</v>
      </c>
      <c r="BM559" t="s">
        <v>8138</v>
      </c>
      <c r="BN559" t="s">
        <v>74</v>
      </c>
      <c r="BO559" t="s">
        <v>541</v>
      </c>
      <c r="BP559" t="s">
        <v>74</v>
      </c>
      <c r="BQ559" t="s">
        <v>74</v>
      </c>
      <c r="BR559" t="s">
        <v>99</v>
      </c>
      <c r="BS559" t="s">
        <v>8156</v>
      </c>
      <c r="BT559" t="str">
        <f>HYPERLINK("https%3A%2F%2Fwww.webofscience.com%2Fwos%2Fwoscc%2Ffull-record%2FWOS:000227720900010","View Full Record in Web of Science")</f>
        <v>View Full Record in Web of Science</v>
      </c>
    </row>
    <row r="560" spans="1:72" x14ac:dyDescent="0.15">
      <c r="A560" t="s">
        <v>72</v>
      </c>
      <c r="B560" t="s">
        <v>8157</v>
      </c>
      <c r="C560" t="s">
        <v>74</v>
      </c>
      <c r="D560" t="s">
        <v>74</v>
      </c>
      <c r="E560" t="s">
        <v>74</v>
      </c>
      <c r="F560" t="s">
        <v>8157</v>
      </c>
      <c r="G560" t="s">
        <v>74</v>
      </c>
      <c r="H560" t="s">
        <v>74</v>
      </c>
      <c r="I560" t="s">
        <v>8158</v>
      </c>
      <c r="J560" t="s">
        <v>8122</v>
      </c>
      <c r="K560" t="s">
        <v>74</v>
      </c>
      <c r="L560" t="s">
        <v>74</v>
      </c>
      <c r="M560" t="s">
        <v>77</v>
      </c>
      <c r="N560" t="s">
        <v>78</v>
      </c>
      <c r="O560" t="s">
        <v>74</v>
      </c>
      <c r="P560" t="s">
        <v>74</v>
      </c>
      <c r="Q560" t="s">
        <v>74</v>
      </c>
      <c r="R560" t="s">
        <v>74</v>
      </c>
      <c r="S560" t="s">
        <v>74</v>
      </c>
      <c r="T560" t="s">
        <v>74</v>
      </c>
      <c r="U560" t="s">
        <v>8159</v>
      </c>
      <c r="V560" t="s">
        <v>8160</v>
      </c>
      <c r="W560" t="s">
        <v>81</v>
      </c>
      <c r="X560" t="s">
        <v>82</v>
      </c>
      <c r="Y560" t="s">
        <v>2464</v>
      </c>
      <c r="Z560" t="s">
        <v>8161</v>
      </c>
      <c r="AA560" t="s">
        <v>8162</v>
      </c>
      <c r="AB560" t="s">
        <v>4639</v>
      </c>
      <c r="AC560" t="s">
        <v>1435</v>
      </c>
      <c r="AD560" t="s">
        <v>1436</v>
      </c>
      <c r="AE560" t="s">
        <v>74</v>
      </c>
      <c r="AF560" t="s">
        <v>74</v>
      </c>
      <c r="AG560">
        <v>16</v>
      </c>
      <c r="AH560">
        <v>7</v>
      </c>
      <c r="AI560">
        <v>7</v>
      </c>
      <c r="AJ560">
        <v>0</v>
      </c>
      <c r="AK560">
        <v>3</v>
      </c>
      <c r="AL560" t="s">
        <v>136</v>
      </c>
      <c r="AM560" t="s">
        <v>824</v>
      </c>
      <c r="AN560" t="s">
        <v>8132</v>
      </c>
      <c r="AO560" t="s">
        <v>8133</v>
      </c>
      <c r="AP560" t="s">
        <v>8134</v>
      </c>
      <c r="AQ560" t="s">
        <v>74</v>
      </c>
      <c r="AR560" t="s">
        <v>8135</v>
      </c>
      <c r="AS560" t="s">
        <v>8136</v>
      </c>
      <c r="AT560" t="s">
        <v>74</v>
      </c>
      <c r="AU560">
        <v>2004</v>
      </c>
      <c r="AV560">
        <v>50</v>
      </c>
      <c r="AW560">
        <v>169</v>
      </c>
      <c r="AX560" t="s">
        <v>74</v>
      </c>
      <c r="AY560" t="s">
        <v>74</v>
      </c>
      <c r="AZ560" t="s">
        <v>74</v>
      </c>
      <c r="BA560" t="s">
        <v>74</v>
      </c>
      <c r="BB560">
        <v>257</v>
      </c>
      <c r="BC560">
        <v>267</v>
      </c>
      <c r="BD560" t="s">
        <v>74</v>
      </c>
      <c r="BE560" t="s">
        <v>8163</v>
      </c>
      <c r="BF560" t="str">
        <f>HYPERLINK("http://dx.doi.org/10.3189/172756504781830051","http://dx.doi.org/10.3189/172756504781830051")</f>
        <v>http://dx.doi.org/10.3189/172756504781830051</v>
      </c>
      <c r="BG560" t="s">
        <v>74</v>
      </c>
      <c r="BH560" t="s">
        <v>74</v>
      </c>
      <c r="BI560">
        <v>11</v>
      </c>
      <c r="BJ560" t="s">
        <v>1400</v>
      </c>
      <c r="BK560" t="s">
        <v>96</v>
      </c>
      <c r="BL560" t="s">
        <v>1401</v>
      </c>
      <c r="BM560" t="s">
        <v>8138</v>
      </c>
      <c r="BN560" t="s">
        <v>74</v>
      </c>
      <c r="BO560" t="s">
        <v>541</v>
      </c>
      <c r="BP560" t="s">
        <v>74</v>
      </c>
      <c r="BQ560" t="s">
        <v>74</v>
      </c>
      <c r="BR560" t="s">
        <v>99</v>
      </c>
      <c r="BS560" t="s">
        <v>8164</v>
      </c>
      <c r="BT560" t="str">
        <f>HYPERLINK("https%3A%2F%2Fwww.webofscience.com%2Fwos%2Fwoscc%2Ffull-record%2FWOS:000227720900011","View Full Record in Web of Science")</f>
        <v>View Full Record in Web of Science</v>
      </c>
    </row>
    <row r="561" spans="1:72" x14ac:dyDescent="0.15">
      <c r="A561" t="s">
        <v>72</v>
      </c>
      <c r="B561" t="s">
        <v>8165</v>
      </c>
      <c r="C561" t="s">
        <v>74</v>
      </c>
      <c r="D561" t="s">
        <v>74</v>
      </c>
      <c r="E561" t="s">
        <v>74</v>
      </c>
      <c r="F561" t="s">
        <v>8165</v>
      </c>
      <c r="G561" t="s">
        <v>74</v>
      </c>
      <c r="H561" t="s">
        <v>74</v>
      </c>
      <c r="I561" t="s">
        <v>8166</v>
      </c>
      <c r="J561" t="s">
        <v>8122</v>
      </c>
      <c r="K561" t="s">
        <v>74</v>
      </c>
      <c r="L561" t="s">
        <v>74</v>
      </c>
      <c r="M561" t="s">
        <v>77</v>
      </c>
      <c r="N561" t="s">
        <v>78</v>
      </c>
      <c r="O561" t="s">
        <v>74</v>
      </c>
      <c r="P561" t="s">
        <v>74</v>
      </c>
      <c r="Q561" t="s">
        <v>74</v>
      </c>
      <c r="R561" t="s">
        <v>74</v>
      </c>
      <c r="S561" t="s">
        <v>74</v>
      </c>
      <c r="T561" t="s">
        <v>74</v>
      </c>
      <c r="U561" t="s">
        <v>8167</v>
      </c>
      <c r="V561" t="s">
        <v>8168</v>
      </c>
      <c r="W561" t="s">
        <v>8169</v>
      </c>
      <c r="X561" t="s">
        <v>8170</v>
      </c>
      <c r="Y561" t="s">
        <v>8171</v>
      </c>
      <c r="Z561" t="s">
        <v>8172</v>
      </c>
      <c r="AA561" t="s">
        <v>8173</v>
      </c>
      <c r="AB561" t="s">
        <v>8174</v>
      </c>
      <c r="AC561" t="s">
        <v>1435</v>
      </c>
      <c r="AD561" t="s">
        <v>1436</v>
      </c>
      <c r="AE561" t="s">
        <v>74</v>
      </c>
      <c r="AF561" t="s">
        <v>74</v>
      </c>
      <c r="AG561">
        <v>33</v>
      </c>
      <c r="AH561">
        <v>26</v>
      </c>
      <c r="AI561">
        <v>28</v>
      </c>
      <c r="AJ561">
        <v>1</v>
      </c>
      <c r="AK561">
        <v>7</v>
      </c>
      <c r="AL561" t="s">
        <v>136</v>
      </c>
      <c r="AM561" t="s">
        <v>824</v>
      </c>
      <c r="AN561" t="s">
        <v>8132</v>
      </c>
      <c r="AO561" t="s">
        <v>8133</v>
      </c>
      <c r="AP561" t="s">
        <v>8134</v>
      </c>
      <c r="AQ561" t="s">
        <v>74</v>
      </c>
      <c r="AR561" t="s">
        <v>8135</v>
      </c>
      <c r="AS561" t="s">
        <v>8136</v>
      </c>
      <c r="AT561" t="s">
        <v>74</v>
      </c>
      <c r="AU561">
        <v>2004</v>
      </c>
      <c r="AV561">
        <v>50</v>
      </c>
      <c r="AW561">
        <v>169</v>
      </c>
      <c r="AX561" t="s">
        <v>74</v>
      </c>
      <c r="AY561" t="s">
        <v>74</v>
      </c>
      <c r="AZ561" t="s">
        <v>74</v>
      </c>
      <c r="BA561" t="s">
        <v>74</v>
      </c>
      <c r="BB561">
        <v>279</v>
      </c>
      <c r="BC561">
        <v>291</v>
      </c>
      <c r="BD561" t="s">
        <v>74</v>
      </c>
      <c r="BE561" t="s">
        <v>8175</v>
      </c>
      <c r="BF561" t="str">
        <f>HYPERLINK("http://dx.doi.org/10.3189/172756504781830169","http://dx.doi.org/10.3189/172756504781830169")</f>
        <v>http://dx.doi.org/10.3189/172756504781830169</v>
      </c>
      <c r="BG561" t="s">
        <v>74</v>
      </c>
      <c r="BH561" t="s">
        <v>74</v>
      </c>
      <c r="BI561">
        <v>13</v>
      </c>
      <c r="BJ561" t="s">
        <v>1400</v>
      </c>
      <c r="BK561" t="s">
        <v>96</v>
      </c>
      <c r="BL561" t="s">
        <v>1401</v>
      </c>
      <c r="BM561" t="s">
        <v>8138</v>
      </c>
      <c r="BN561" t="s">
        <v>74</v>
      </c>
      <c r="BO561" t="s">
        <v>516</v>
      </c>
      <c r="BP561" t="s">
        <v>74</v>
      </c>
      <c r="BQ561" t="s">
        <v>74</v>
      </c>
      <c r="BR561" t="s">
        <v>99</v>
      </c>
      <c r="BS561" t="s">
        <v>8176</v>
      </c>
      <c r="BT561" t="str">
        <f>HYPERLINK("https%3A%2F%2Fwww.webofscience.com%2Fwos%2Fwoscc%2Ffull-record%2FWOS:000227720900013","View Full Record in Web of Science")</f>
        <v>View Full Record in Web of Science</v>
      </c>
    </row>
    <row r="562" spans="1:72" x14ac:dyDescent="0.15">
      <c r="A562" t="s">
        <v>72</v>
      </c>
      <c r="B562" t="s">
        <v>8177</v>
      </c>
      <c r="C562" t="s">
        <v>74</v>
      </c>
      <c r="D562" t="s">
        <v>74</v>
      </c>
      <c r="E562" t="s">
        <v>74</v>
      </c>
      <c r="F562" t="s">
        <v>8177</v>
      </c>
      <c r="G562" t="s">
        <v>74</v>
      </c>
      <c r="H562" t="s">
        <v>74</v>
      </c>
      <c r="I562" t="s">
        <v>8178</v>
      </c>
      <c r="J562" t="s">
        <v>8122</v>
      </c>
      <c r="K562" t="s">
        <v>74</v>
      </c>
      <c r="L562" t="s">
        <v>74</v>
      </c>
      <c r="M562" t="s">
        <v>77</v>
      </c>
      <c r="N562" t="s">
        <v>78</v>
      </c>
      <c r="O562" t="s">
        <v>74</v>
      </c>
      <c r="P562" t="s">
        <v>74</v>
      </c>
      <c r="Q562" t="s">
        <v>74</v>
      </c>
      <c r="R562" t="s">
        <v>74</v>
      </c>
      <c r="S562" t="s">
        <v>74</v>
      </c>
      <c r="T562" t="s">
        <v>74</v>
      </c>
      <c r="U562" t="s">
        <v>8179</v>
      </c>
      <c r="V562" t="s">
        <v>8180</v>
      </c>
      <c r="W562" t="s">
        <v>81</v>
      </c>
      <c r="X562" t="s">
        <v>82</v>
      </c>
      <c r="Y562" t="s">
        <v>8181</v>
      </c>
      <c r="Z562" t="s">
        <v>8182</v>
      </c>
      <c r="AA562" t="s">
        <v>8183</v>
      </c>
      <c r="AB562" t="s">
        <v>4557</v>
      </c>
      <c r="AC562" t="s">
        <v>4640</v>
      </c>
      <c r="AD562" t="s">
        <v>4641</v>
      </c>
      <c r="AE562" t="s">
        <v>74</v>
      </c>
      <c r="AF562" t="s">
        <v>74</v>
      </c>
      <c r="AG562">
        <v>42</v>
      </c>
      <c r="AH562">
        <v>51</v>
      </c>
      <c r="AI562">
        <v>92</v>
      </c>
      <c r="AJ562">
        <v>0</v>
      </c>
      <c r="AK562">
        <v>36</v>
      </c>
      <c r="AL562" t="s">
        <v>8184</v>
      </c>
      <c r="AM562" t="s">
        <v>824</v>
      </c>
      <c r="AN562" t="s">
        <v>4394</v>
      </c>
      <c r="AO562" t="s">
        <v>8133</v>
      </c>
      <c r="AP562" t="s">
        <v>74</v>
      </c>
      <c r="AQ562" t="s">
        <v>74</v>
      </c>
      <c r="AR562" t="s">
        <v>8135</v>
      </c>
      <c r="AS562" t="s">
        <v>8136</v>
      </c>
      <c r="AT562" t="s">
        <v>74</v>
      </c>
      <c r="AU562">
        <v>2004</v>
      </c>
      <c r="AV562">
        <v>50</v>
      </c>
      <c r="AW562">
        <v>170</v>
      </c>
      <c r="AX562" t="s">
        <v>74</v>
      </c>
      <c r="AY562" t="s">
        <v>74</v>
      </c>
      <c r="AZ562" t="s">
        <v>74</v>
      </c>
      <c r="BA562" t="s">
        <v>74</v>
      </c>
      <c r="BB562">
        <v>311</v>
      </c>
      <c r="BC562">
        <v>324</v>
      </c>
      <c r="BD562" t="s">
        <v>74</v>
      </c>
      <c r="BE562" t="s">
        <v>8185</v>
      </c>
      <c r="BF562" t="str">
        <f>HYPERLINK("http://dx.doi.org/10.3189/172756504781829918","http://dx.doi.org/10.3189/172756504781829918")</f>
        <v>http://dx.doi.org/10.3189/172756504781829918</v>
      </c>
      <c r="BG562" t="s">
        <v>74</v>
      </c>
      <c r="BH562" t="s">
        <v>74</v>
      </c>
      <c r="BI562">
        <v>14</v>
      </c>
      <c r="BJ562" t="s">
        <v>1400</v>
      </c>
      <c r="BK562" t="s">
        <v>96</v>
      </c>
      <c r="BL562" t="s">
        <v>1401</v>
      </c>
      <c r="BM562" t="s">
        <v>8186</v>
      </c>
      <c r="BN562" t="s">
        <v>74</v>
      </c>
      <c r="BO562" t="s">
        <v>541</v>
      </c>
      <c r="BP562" t="s">
        <v>74</v>
      </c>
      <c r="BQ562" t="s">
        <v>74</v>
      </c>
      <c r="BR562" t="s">
        <v>99</v>
      </c>
      <c r="BS562" t="s">
        <v>8187</v>
      </c>
      <c r="BT562" t="str">
        <f>HYPERLINK("https%3A%2F%2Fwww.webofscience.com%2Fwos%2Fwoscc%2Ffull-record%2FWOS:000230080200001","View Full Record in Web of Science")</f>
        <v>View Full Record in Web of Science</v>
      </c>
    </row>
    <row r="563" spans="1:72" x14ac:dyDescent="0.15">
      <c r="A563" t="s">
        <v>72</v>
      </c>
      <c r="B563" t="s">
        <v>8188</v>
      </c>
      <c r="C563" t="s">
        <v>74</v>
      </c>
      <c r="D563" t="s">
        <v>74</v>
      </c>
      <c r="E563" t="s">
        <v>74</v>
      </c>
      <c r="F563" t="s">
        <v>8188</v>
      </c>
      <c r="G563" t="s">
        <v>74</v>
      </c>
      <c r="H563" t="s">
        <v>74</v>
      </c>
      <c r="I563" t="s">
        <v>8189</v>
      </c>
      <c r="J563" t="s">
        <v>8122</v>
      </c>
      <c r="K563" t="s">
        <v>74</v>
      </c>
      <c r="L563" t="s">
        <v>74</v>
      </c>
      <c r="M563" t="s">
        <v>77</v>
      </c>
      <c r="N563" t="s">
        <v>78</v>
      </c>
      <c r="O563" t="s">
        <v>74</v>
      </c>
      <c r="P563" t="s">
        <v>74</v>
      </c>
      <c r="Q563" t="s">
        <v>74</v>
      </c>
      <c r="R563" t="s">
        <v>74</v>
      </c>
      <c r="S563" t="s">
        <v>74</v>
      </c>
      <c r="T563" t="s">
        <v>74</v>
      </c>
      <c r="U563" t="s">
        <v>8190</v>
      </c>
      <c r="V563" t="s">
        <v>8191</v>
      </c>
      <c r="W563" t="s">
        <v>8192</v>
      </c>
      <c r="X563" t="s">
        <v>8193</v>
      </c>
      <c r="Y563" t="s">
        <v>8194</v>
      </c>
      <c r="Z563" t="s">
        <v>8195</v>
      </c>
      <c r="AA563" t="s">
        <v>8196</v>
      </c>
      <c r="AB563" t="s">
        <v>8197</v>
      </c>
      <c r="AC563" t="s">
        <v>8198</v>
      </c>
      <c r="AD563" t="s">
        <v>4641</v>
      </c>
      <c r="AE563" t="s">
        <v>74</v>
      </c>
      <c r="AF563" t="s">
        <v>74</v>
      </c>
      <c r="AG563">
        <v>29</v>
      </c>
      <c r="AH563">
        <v>71</v>
      </c>
      <c r="AI563">
        <v>81</v>
      </c>
      <c r="AJ563">
        <v>0</v>
      </c>
      <c r="AK563">
        <v>14</v>
      </c>
      <c r="AL563" t="s">
        <v>8184</v>
      </c>
      <c r="AM563" t="s">
        <v>824</v>
      </c>
      <c r="AN563" t="s">
        <v>4394</v>
      </c>
      <c r="AO563" t="s">
        <v>8133</v>
      </c>
      <c r="AP563" t="s">
        <v>74</v>
      </c>
      <c r="AQ563" t="s">
        <v>74</v>
      </c>
      <c r="AR563" t="s">
        <v>8135</v>
      </c>
      <c r="AS563" t="s">
        <v>8136</v>
      </c>
      <c r="AT563" t="s">
        <v>74</v>
      </c>
      <c r="AU563">
        <v>2004</v>
      </c>
      <c r="AV563">
        <v>50</v>
      </c>
      <c r="AW563">
        <v>170</v>
      </c>
      <c r="AX563" t="s">
        <v>74</v>
      </c>
      <c r="AY563" t="s">
        <v>74</v>
      </c>
      <c r="AZ563" t="s">
        <v>74</v>
      </c>
      <c r="BA563" t="s">
        <v>74</v>
      </c>
      <c r="BB563">
        <v>353</v>
      </c>
      <c r="BC563">
        <v>362</v>
      </c>
      <c r="BD563" t="s">
        <v>74</v>
      </c>
      <c r="BE563" t="s">
        <v>8199</v>
      </c>
      <c r="BF563" t="str">
        <f>HYPERLINK("http://dx.doi.org/10.3189/172756504781829846","http://dx.doi.org/10.3189/172756504781829846")</f>
        <v>http://dx.doi.org/10.3189/172756504781829846</v>
      </c>
      <c r="BG563" t="s">
        <v>74</v>
      </c>
      <c r="BH563" t="s">
        <v>74</v>
      </c>
      <c r="BI563">
        <v>10</v>
      </c>
      <c r="BJ563" t="s">
        <v>1400</v>
      </c>
      <c r="BK563" t="s">
        <v>96</v>
      </c>
      <c r="BL563" t="s">
        <v>1401</v>
      </c>
      <c r="BM563" t="s">
        <v>8186</v>
      </c>
      <c r="BN563" t="s">
        <v>74</v>
      </c>
      <c r="BO563" t="s">
        <v>623</v>
      </c>
      <c r="BP563" t="s">
        <v>74</v>
      </c>
      <c r="BQ563" t="s">
        <v>74</v>
      </c>
      <c r="BR563" t="s">
        <v>99</v>
      </c>
      <c r="BS563" t="s">
        <v>8200</v>
      </c>
      <c r="BT563" t="str">
        <f>HYPERLINK("https%3A%2F%2Fwww.webofscience.com%2Fwos%2Fwoscc%2Ffull-record%2FWOS:000230080200005","View Full Record in Web of Science")</f>
        <v>View Full Record in Web of Science</v>
      </c>
    </row>
    <row r="564" spans="1:72" x14ac:dyDescent="0.15">
      <c r="A564" t="s">
        <v>72</v>
      </c>
      <c r="B564" t="s">
        <v>8201</v>
      </c>
      <c r="C564" t="s">
        <v>74</v>
      </c>
      <c r="D564" t="s">
        <v>74</v>
      </c>
      <c r="E564" t="s">
        <v>74</v>
      </c>
      <c r="F564" t="s">
        <v>8201</v>
      </c>
      <c r="G564" t="s">
        <v>74</v>
      </c>
      <c r="H564" t="s">
        <v>74</v>
      </c>
      <c r="I564" t="s">
        <v>8202</v>
      </c>
      <c r="J564" t="s">
        <v>8122</v>
      </c>
      <c r="K564" t="s">
        <v>74</v>
      </c>
      <c r="L564" t="s">
        <v>74</v>
      </c>
      <c r="M564" t="s">
        <v>77</v>
      </c>
      <c r="N564" t="s">
        <v>78</v>
      </c>
      <c r="O564" t="s">
        <v>74</v>
      </c>
      <c r="P564" t="s">
        <v>74</v>
      </c>
      <c r="Q564" t="s">
        <v>74</v>
      </c>
      <c r="R564" t="s">
        <v>74</v>
      </c>
      <c r="S564" t="s">
        <v>74</v>
      </c>
      <c r="T564" t="s">
        <v>74</v>
      </c>
      <c r="U564" t="s">
        <v>8203</v>
      </c>
      <c r="V564" t="s">
        <v>8204</v>
      </c>
      <c r="W564" t="s">
        <v>8205</v>
      </c>
      <c r="X564" t="s">
        <v>8206</v>
      </c>
      <c r="Y564" t="s">
        <v>8207</v>
      </c>
      <c r="Z564" t="s">
        <v>8208</v>
      </c>
      <c r="AA564" t="s">
        <v>8209</v>
      </c>
      <c r="AB564" t="s">
        <v>8210</v>
      </c>
      <c r="AC564" t="s">
        <v>74</v>
      </c>
      <c r="AD564" t="s">
        <v>74</v>
      </c>
      <c r="AE564" t="s">
        <v>74</v>
      </c>
      <c r="AF564" t="s">
        <v>74</v>
      </c>
      <c r="AG564">
        <v>28</v>
      </c>
      <c r="AH564">
        <v>20</v>
      </c>
      <c r="AI564">
        <v>25</v>
      </c>
      <c r="AJ564">
        <v>0</v>
      </c>
      <c r="AK564">
        <v>6</v>
      </c>
      <c r="AL564" t="s">
        <v>8184</v>
      </c>
      <c r="AM564" t="s">
        <v>824</v>
      </c>
      <c r="AN564" t="s">
        <v>4394</v>
      </c>
      <c r="AO564" t="s">
        <v>8133</v>
      </c>
      <c r="AP564" t="s">
        <v>74</v>
      </c>
      <c r="AQ564" t="s">
        <v>74</v>
      </c>
      <c r="AR564" t="s">
        <v>8135</v>
      </c>
      <c r="AS564" t="s">
        <v>8136</v>
      </c>
      <c r="AT564" t="s">
        <v>74</v>
      </c>
      <c r="AU564">
        <v>2004</v>
      </c>
      <c r="AV564">
        <v>50</v>
      </c>
      <c r="AW564">
        <v>170</v>
      </c>
      <c r="AX564" t="s">
        <v>74</v>
      </c>
      <c r="AY564" t="s">
        <v>74</v>
      </c>
      <c r="AZ564" t="s">
        <v>74</v>
      </c>
      <c r="BA564" t="s">
        <v>74</v>
      </c>
      <c r="BB564">
        <v>382</v>
      </c>
      <c r="BC564">
        <v>388</v>
      </c>
      <c r="BD564" t="s">
        <v>74</v>
      </c>
      <c r="BE564" t="s">
        <v>8211</v>
      </c>
      <c r="BF564" t="str">
        <f>HYPERLINK("http://dx.doi.org/10.3189/172756504781829891","http://dx.doi.org/10.3189/172756504781829891")</f>
        <v>http://dx.doi.org/10.3189/172756504781829891</v>
      </c>
      <c r="BG564" t="s">
        <v>74</v>
      </c>
      <c r="BH564" t="s">
        <v>74</v>
      </c>
      <c r="BI564">
        <v>7</v>
      </c>
      <c r="BJ564" t="s">
        <v>1400</v>
      </c>
      <c r="BK564" t="s">
        <v>96</v>
      </c>
      <c r="BL564" t="s">
        <v>1401</v>
      </c>
      <c r="BM564" t="s">
        <v>8186</v>
      </c>
      <c r="BN564" t="s">
        <v>74</v>
      </c>
      <c r="BO564" t="s">
        <v>541</v>
      </c>
      <c r="BP564" t="s">
        <v>74</v>
      </c>
      <c r="BQ564" t="s">
        <v>74</v>
      </c>
      <c r="BR564" t="s">
        <v>99</v>
      </c>
      <c r="BS564" t="s">
        <v>8212</v>
      </c>
      <c r="BT564" t="str">
        <f>HYPERLINK("https%3A%2F%2Fwww.webofscience.com%2Fwos%2Fwoscc%2Ffull-record%2FWOS:000230080200009","View Full Record in Web of Science")</f>
        <v>View Full Record in Web of Science</v>
      </c>
    </row>
    <row r="565" spans="1:72" x14ac:dyDescent="0.15">
      <c r="A565" t="s">
        <v>72</v>
      </c>
      <c r="B565" t="s">
        <v>8213</v>
      </c>
      <c r="C565" t="s">
        <v>74</v>
      </c>
      <c r="D565" t="s">
        <v>74</v>
      </c>
      <c r="E565" t="s">
        <v>74</v>
      </c>
      <c r="F565" t="s">
        <v>8213</v>
      </c>
      <c r="G565" t="s">
        <v>74</v>
      </c>
      <c r="H565" t="s">
        <v>74</v>
      </c>
      <c r="I565" t="s">
        <v>8214</v>
      </c>
      <c r="J565" t="s">
        <v>8122</v>
      </c>
      <c r="K565" t="s">
        <v>74</v>
      </c>
      <c r="L565" t="s">
        <v>74</v>
      </c>
      <c r="M565" t="s">
        <v>77</v>
      </c>
      <c r="N565" t="s">
        <v>78</v>
      </c>
      <c r="O565" t="s">
        <v>74</v>
      </c>
      <c r="P565" t="s">
        <v>74</v>
      </c>
      <c r="Q565" t="s">
        <v>74</v>
      </c>
      <c r="R565" t="s">
        <v>74</v>
      </c>
      <c r="S565" t="s">
        <v>74</v>
      </c>
      <c r="T565" t="s">
        <v>74</v>
      </c>
      <c r="U565" t="s">
        <v>8215</v>
      </c>
      <c r="V565" t="s">
        <v>8216</v>
      </c>
      <c r="W565" t="s">
        <v>8217</v>
      </c>
      <c r="X565" t="s">
        <v>8218</v>
      </c>
      <c r="Y565" t="s">
        <v>2464</v>
      </c>
      <c r="Z565" t="s">
        <v>8219</v>
      </c>
      <c r="AA565" t="s">
        <v>8220</v>
      </c>
      <c r="AB565" t="s">
        <v>8221</v>
      </c>
      <c r="AC565" t="s">
        <v>74</v>
      </c>
      <c r="AD565" t="s">
        <v>74</v>
      </c>
      <c r="AE565" t="s">
        <v>74</v>
      </c>
      <c r="AF565" t="s">
        <v>74</v>
      </c>
      <c r="AG565">
        <v>22</v>
      </c>
      <c r="AH565">
        <v>18</v>
      </c>
      <c r="AI565">
        <v>23</v>
      </c>
      <c r="AJ565">
        <v>0</v>
      </c>
      <c r="AK565">
        <v>10</v>
      </c>
      <c r="AL565" t="s">
        <v>136</v>
      </c>
      <c r="AM565" t="s">
        <v>824</v>
      </c>
      <c r="AN565" t="s">
        <v>8132</v>
      </c>
      <c r="AO565" t="s">
        <v>8133</v>
      </c>
      <c r="AP565" t="s">
        <v>8134</v>
      </c>
      <c r="AQ565" t="s">
        <v>74</v>
      </c>
      <c r="AR565" t="s">
        <v>8135</v>
      </c>
      <c r="AS565" t="s">
        <v>8136</v>
      </c>
      <c r="AT565" t="s">
        <v>74</v>
      </c>
      <c r="AU565">
        <v>2004</v>
      </c>
      <c r="AV565">
        <v>50</v>
      </c>
      <c r="AW565">
        <v>170</v>
      </c>
      <c r="AX565" t="s">
        <v>74</v>
      </c>
      <c r="AY565" t="s">
        <v>74</v>
      </c>
      <c r="AZ565" t="s">
        <v>74</v>
      </c>
      <c r="BA565" t="s">
        <v>74</v>
      </c>
      <c r="BB565">
        <v>413</v>
      </c>
      <c r="BC565">
        <v>418</v>
      </c>
      <c r="BD565" t="s">
        <v>74</v>
      </c>
      <c r="BE565" t="s">
        <v>8222</v>
      </c>
      <c r="BF565" t="str">
        <f>HYPERLINK("http://dx.doi.org/10.3189/172756504781829882","http://dx.doi.org/10.3189/172756504781829882")</f>
        <v>http://dx.doi.org/10.3189/172756504781829882</v>
      </c>
      <c r="BG565" t="s">
        <v>74</v>
      </c>
      <c r="BH565" t="s">
        <v>74</v>
      </c>
      <c r="BI565">
        <v>6</v>
      </c>
      <c r="BJ565" t="s">
        <v>1400</v>
      </c>
      <c r="BK565" t="s">
        <v>96</v>
      </c>
      <c r="BL565" t="s">
        <v>1401</v>
      </c>
      <c r="BM565" t="s">
        <v>8186</v>
      </c>
      <c r="BN565" t="s">
        <v>74</v>
      </c>
      <c r="BO565" t="s">
        <v>541</v>
      </c>
      <c r="BP565" t="s">
        <v>74</v>
      </c>
      <c r="BQ565" t="s">
        <v>74</v>
      </c>
      <c r="BR565" t="s">
        <v>99</v>
      </c>
      <c r="BS565" t="s">
        <v>8223</v>
      </c>
      <c r="BT565" t="str">
        <f>HYPERLINK("https%3A%2F%2Fwww.webofscience.com%2Fwos%2Fwoscc%2Ffull-record%2FWOS:000230080200012","View Full Record in Web of Science")</f>
        <v>View Full Record in Web of Science</v>
      </c>
    </row>
    <row r="566" spans="1:72" x14ac:dyDescent="0.15">
      <c r="A566" t="s">
        <v>72</v>
      </c>
      <c r="B566" t="s">
        <v>8224</v>
      </c>
      <c r="C566" t="s">
        <v>74</v>
      </c>
      <c r="D566" t="s">
        <v>74</v>
      </c>
      <c r="E566" t="s">
        <v>74</v>
      </c>
      <c r="F566" t="s">
        <v>8224</v>
      </c>
      <c r="G566" t="s">
        <v>74</v>
      </c>
      <c r="H566" t="s">
        <v>74</v>
      </c>
      <c r="I566" t="s">
        <v>8225</v>
      </c>
      <c r="J566" t="s">
        <v>8122</v>
      </c>
      <c r="K566" t="s">
        <v>74</v>
      </c>
      <c r="L566" t="s">
        <v>74</v>
      </c>
      <c r="M566" t="s">
        <v>77</v>
      </c>
      <c r="N566" t="s">
        <v>78</v>
      </c>
      <c r="O566" t="s">
        <v>74</v>
      </c>
      <c r="P566" t="s">
        <v>74</v>
      </c>
      <c r="Q566" t="s">
        <v>74</v>
      </c>
      <c r="R566" t="s">
        <v>74</v>
      </c>
      <c r="S566" t="s">
        <v>74</v>
      </c>
      <c r="T566" t="s">
        <v>74</v>
      </c>
      <c r="U566" t="s">
        <v>8226</v>
      </c>
      <c r="V566" t="s">
        <v>8227</v>
      </c>
      <c r="W566" t="s">
        <v>8228</v>
      </c>
      <c r="X566" t="s">
        <v>8229</v>
      </c>
      <c r="Y566" t="s">
        <v>8230</v>
      </c>
      <c r="Z566" t="s">
        <v>8231</v>
      </c>
      <c r="AA566" t="s">
        <v>8232</v>
      </c>
      <c r="AB566" t="s">
        <v>8233</v>
      </c>
      <c r="AC566" t="s">
        <v>74</v>
      </c>
      <c r="AD566" t="s">
        <v>74</v>
      </c>
      <c r="AE566" t="s">
        <v>74</v>
      </c>
      <c r="AF566" t="s">
        <v>74</v>
      </c>
      <c r="AG566">
        <v>43</v>
      </c>
      <c r="AH566">
        <v>51</v>
      </c>
      <c r="AI566">
        <v>55</v>
      </c>
      <c r="AJ566">
        <v>0</v>
      </c>
      <c r="AK566">
        <v>15</v>
      </c>
      <c r="AL566" t="s">
        <v>8184</v>
      </c>
      <c r="AM566" t="s">
        <v>824</v>
      </c>
      <c r="AN566" t="s">
        <v>4394</v>
      </c>
      <c r="AO566" t="s">
        <v>8133</v>
      </c>
      <c r="AP566" t="s">
        <v>74</v>
      </c>
      <c r="AQ566" t="s">
        <v>74</v>
      </c>
      <c r="AR566" t="s">
        <v>8135</v>
      </c>
      <c r="AS566" t="s">
        <v>8136</v>
      </c>
      <c r="AT566" t="s">
        <v>74</v>
      </c>
      <c r="AU566">
        <v>2004</v>
      </c>
      <c r="AV566">
        <v>50</v>
      </c>
      <c r="AW566">
        <v>171</v>
      </c>
      <c r="AX566" t="s">
        <v>74</v>
      </c>
      <c r="AY566" t="s">
        <v>74</v>
      </c>
      <c r="AZ566" t="s">
        <v>74</v>
      </c>
      <c r="BA566" t="s">
        <v>74</v>
      </c>
      <c r="BB566">
        <v>471</v>
      </c>
      <c r="BC566">
        <v>484</v>
      </c>
      <c r="BD566" t="s">
        <v>74</v>
      </c>
      <c r="BE566" t="s">
        <v>8234</v>
      </c>
      <c r="BF566" t="str">
        <f>HYPERLINK("http://dx.doi.org/10.3189/172756504781829738","http://dx.doi.org/10.3189/172756504781829738")</f>
        <v>http://dx.doi.org/10.3189/172756504781829738</v>
      </c>
      <c r="BG566" t="s">
        <v>74</v>
      </c>
      <c r="BH566" t="s">
        <v>74</v>
      </c>
      <c r="BI566">
        <v>14</v>
      </c>
      <c r="BJ566" t="s">
        <v>1400</v>
      </c>
      <c r="BK566" t="s">
        <v>96</v>
      </c>
      <c r="BL566" t="s">
        <v>1401</v>
      </c>
      <c r="BM566" t="s">
        <v>8235</v>
      </c>
      <c r="BN566" t="s">
        <v>74</v>
      </c>
      <c r="BO566" t="s">
        <v>516</v>
      </c>
      <c r="BP566" t="s">
        <v>74</v>
      </c>
      <c r="BQ566" t="s">
        <v>74</v>
      </c>
      <c r="BR566" t="s">
        <v>99</v>
      </c>
      <c r="BS566" t="s">
        <v>8236</v>
      </c>
      <c r="BT566" t="str">
        <f>HYPERLINK("https%3A%2F%2Fwww.webofscience.com%2Fwos%2Fwoscc%2Ffull-record%2FWOS:000231842100001","View Full Record in Web of Science")</f>
        <v>View Full Record in Web of Science</v>
      </c>
    </row>
    <row r="567" spans="1:72" x14ac:dyDescent="0.15">
      <c r="A567" t="s">
        <v>72</v>
      </c>
      <c r="B567" t="s">
        <v>8237</v>
      </c>
      <c r="C567" t="s">
        <v>74</v>
      </c>
      <c r="D567" t="s">
        <v>74</v>
      </c>
      <c r="E567" t="s">
        <v>74</v>
      </c>
      <c r="F567" t="s">
        <v>8237</v>
      </c>
      <c r="G567" t="s">
        <v>74</v>
      </c>
      <c r="H567" t="s">
        <v>74</v>
      </c>
      <c r="I567" t="s">
        <v>8238</v>
      </c>
      <c r="J567" t="s">
        <v>8122</v>
      </c>
      <c r="K567" t="s">
        <v>74</v>
      </c>
      <c r="L567" t="s">
        <v>74</v>
      </c>
      <c r="M567" t="s">
        <v>77</v>
      </c>
      <c r="N567" t="s">
        <v>78</v>
      </c>
      <c r="O567" t="s">
        <v>74</v>
      </c>
      <c r="P567" t="s">
        <v>74</v>
      </c>
      <c r="Q567" t="s">
        <v>74</v>
      </c>
      <c r="R567" t="s">
        <v>74</v>
      </c>
      <c r="S567" t="s">
        <v>74</v>
      </c>
      <c r="T567" t="s">
        <v>74</v>
      </c>
      <c r="U567" t="s">
        <v>8239</v>
      </c>
      <c r="V567" t="s">
        <v>8240</v>
      </c>
      <c r="W567" t="s">
        <v>8241</v>
      </c>
      <c r="X567" t="s">
        <v>8242</v>
      </c>
      <c r="Y567" t="s">
        <v>8243</v>
      </c>
      <c r="Z567" t="s">
        <v>8244</v>
      </c>
      <c r="AA567" t="s">
        <v>8245</v>
      </c>
      <c r="AB567" t="s">
        <v>8246</v>
      </c>
      <c r="AC567" t="s">
        <v>74</v>
      </c>
      <c r="AD567" t="s">
        <v>74</v>
      </c>
      <c r="AE567" t="s">
        <v>74</v>
      </c>
      <c r="AF567" t="s">
        <v>74</v>
      </c>
      <c r="AG567">
        <v>26</v>
      </c>
      <c r="AH567">
        <v>29</v>
      </c>
      <c r="AI567">
        <v>34</v>
      </c>
      <c r="AJ567">
        <v>0</v>
      </c>
      <c r="AK567">
        <v>8</v>
      </c>
      <c r="AL567" t="s">
        <v>136</v>
      </c>
      <c r="AM567" t="s">
        <v>824</v>
      </c>
      <c r="AN567" t="s">
        <v>8132</v>
      </c>
      <c r="AO567" t="s">
        <v>8133</v>
      </c>
      <c r="AP567" t="s">
        <v>8134</v>
      </c>
      <c r="AQ567" t="s">
        <v>74</v>
      </c>
      <c r="AR567" t="s">
        <v>8135</v>
      </c>
      <c r="AS567" t="s">
        <v>8136</v>
      </c>
      <c r="AT567" t="s">
        <v>74</v>
      </c>
      <c r="AU567">
        <v>2004</v>
      </c>
      <c r="AV567">
        <v>50</v>
      </c>
      <c r="AW567">
        <v>171</v>
      </c>
      <c r="AX567" t="s">
        <v>74</v>
      </c>
      <c r="AY567" t="s">
        <v>74</v>
      </c>
      <c r="AZ567" t="s">
        <v>74</v>
      </c>
      <c r="BA567" t="s">
        <v>74</v>
      </c>
      <c r="BB567">
        <v>583</v>
      </c>
      <c r="BC567">
        <v>589</v>
      </c>
      <c r="BD567" t="s">
        <v>74</v>
      </c>
      <c r="BE567" t="s">
        <v>8247</v>
      </c>
      <c r="BF567" t="str">
        <f>HYPERLINK("http://dx.doi.org/10.3189/172756504781829765","http://dx.doi.org/10.3189/172756504781829765")</f>
        <v>http://dx.doi.org/10.3189/172756504781829765</v>
      </c>
      <c r="BG567" t="s">
        <v>74</v>
      </c>
      <c r="BH567" t="s">
        <v>74</v>
      </c>
      <c r="BI567">
        <v>7</v>
      </c>
      <c r="BJ567" t="s">
        <v>1400</v>
      </c>
      <c r="BK567" t="s">
        <v>96</v>
      </c>
      <c r="BL567" t="s">
        <v>1401</v>
      </c>
      <c r="BM567" t="s">
        <v>8235</v>
      </c>
      <c r="BN567" t="s">
        <v>74</v>
      </c>
      <c r="BO567" t="s">
        <v>286</v>
      </c>
      <c r="BP567" t="s">
        <v>74</v>
      </c>
      <c r="BQ567" t="s">
        <v>74</v>
      </c>
      <c r="BR567" t="s">
        <v>99</v>
      </c>
      <c r="BS567" t="s">
        <v>8248</v>
      </c>
      <c r="BT567" t="str">
        <f>HYPERLINK("https%3A%2F%2Fwww.webofscience.com%2Fwos%2Fwoscc%2Ffull-record%2FWOS:000231842100011","View Full Record in Web of Science")</f>
        <v>View Full Record in Web of Science</v>
      </c>
    </row>
    <row r="568" spans="1:72" x14ac:dyDescent="0.15">
      <c r="A568" t="s">
        <v>72</v>
      </c>
      <c r="B568" t="s">
        <v>8249</v>
      </c>
      <c r="C568" t="s">
        <v>74</v>
      </c>
      <c r="D568" t="s">
        <v>74</v>
      </c>
      <c r="E568" t="s">
        <v>74</v>
      </c>
      <c r="F568" t="s">
        <v>8249</v>
      </c>
      <c r="G568" t="s">
        <v>74</v>
      </c>
      <c r="H568" t="s">
        <v>74</v>
      </c>
      <c r="I568" t="s">
        <v>8250</v>
      </c>
      <c r="J568" t="s">
        <v>8251</v>
      </c>
      <c r="K568" t="s">
        <v>74</v>
      </c>
      <c r="L568" t="s">
        <v>74</v>
      </c>
      <c r="M568" t="s">
        <v>77</v>
      </c>
      <c r="N568" t="s">
        <v>78</v>
      </c>
      <c r="O568" t="s">
        <v>74</v>
      </c>
      <c r="P568" t="s">
        <v>74</v>
      </c>
      <c r="Q568" t="s">
        <v>74</v>
      </c>
      <c r="R568" t="s">
        <v>74</v>
      </c>
      <c r="S568" t="s">
        <v>74</v>
      </c>
      <c r="T568" t="s">
        <v>8252</v>
      </c>
      <c r="U568" t="s">
        <v>74</v>
      </c>
      <c r="V568" t="s">
        <v>8253</v>
      </c>
      <c r="W568" t="s">
        <v>74</v>
      </c>
      <c r="X568" t="s">
        <v>74</v>
      </c>
      <c r="Y568" t="s">
        <v>74</v>
      </c>
      <c r="Z568" t="s">
        <v>8254</v>
      </c>
      <c r="AA568" t="s">
        <v>74</v>
      </c>
      <c r="AB568" t="s">
        <v>74</v>
      </c>
      <c r="AC568" t="s">
        <v>74</v>
      </c>
      <c r="AD568" t="s">
        <v>74</v>
      </c>
      <c r="AE568" t="s">
        <v>74</v>
      </c>
      <c r="AF568" t="s">
        <v>74</v>
      </c>
      <c r="AG568">
        <v>0</v>
      </c>
      <c r="AH568">
        <v>1</v>
      </c>
      <c r="AI568">
        <v>2</v>
      </c>
      <c r="AJ568">
        <v>0</v>
      </c>
      <c r="AK568">
        <v>4</v>
      </c>
      <c r="AL568" t="s">
        <v>213</v>
      </c>
      <c r="AM568" t="s">
        <v>214</v>
      </c>
      <c r="AN568" t="s">
        <v>215</v>
      </c>
      <c r="AO568" t="s">
        <v>8255</v>
      </c>
      <c r="AP568" t="s">
        <v>74</v>
      </c>
      <c r="AQ568" t="s">
        <v>74</v>
      </c>
      <c r="AR568" t="s">
        <v>8256</v>
      </c>
      <c r="AS568" t="s">
        <v>8257</v>
      </c>
      <c r="AT568" t="s">
        <v>74</v>
      </c>
      <c r="AU568">
        <v>2004</v>
      </c>
      <c r="AV568">
        <v>30</v>
      </c>
      <c r="AW568">
        <v>4</v>
      </c>
      <c r="AX568" t="s">
        <v>74</v>
      </c>
      <c r="AY568" t="s">
        <v>74</v>
      </c>
      <c r="AZ568" t="s">
        <v>74</v>
      </c>
      <c r="BA568" t="s">
        <v>74</v>
      </c>
      <c r="BB568">
        <v>482</v>
      </c>
      <c r="BC568">
        <v>489</v>
      </c>
      <c r="BD568" t="s">
        <v>74</v>
      </c>
      <c r="BE568" t="s">
        <v>8258</v>
      </c>
      <c r="BF568" t="str">
        <f>HYPERLINK("http://dx.doi.org/10.1016/j.jgi.2004.09.007","http://dx.doi.org/10.1016/j.jgi.2004.09.007")</f>
        <v>http://dx.doi.org/10.1016/j.jgi.2004.09.007</v>
      </c>
      <c r="BG568" t="s">
        <v>74</v>
      </c>
      <c r="BH568" t="s">
        <v>74</v>
      </c>
      <c r="BI568">
        <v>8</v>
      </c>
      <c r="BJ568" t="s">
        <v>8259</v>
      </c>
      <c r="BK568" t="s">
        <v>8260</v>
      </c>
      <c r="BL568" t="s">
        <v>8259</v>
      </c>
      <c r="BM568" t="s">
        <v>8261</v>
      </c>
      <c r="BN568" t="s">
        <v>74</v>
      </c>
      <c r="BO568" t="s">
        <v>74</v>
      </c>
      <c r="BP568" t="s">
        <v>74</v>
      </c>
      <c r="BQ568" t="s">
        <v>74</v>
      </c>
      <c r="BR568" t="s">
        <v>99</v>
      </c>
      <c r="BS568" t="s">
        <v>8262</v>
      </c>
      <c r="BT568" t="str">
        <f>HYPERLINK("https%3A%2F%2Fwww.webofscience.com%2Fwos%2Fwoscc%2Ffull-record%2FWOS:000225558700007","View Full Record in Web of Science")</f>
        <v>View Full Record in Web of Science</v>
      </c>
    </row>
    <row r="569" spans="1:72" x14ac:dyDescent="0.15">
      <c r="A569" t="s">
        <v>72</v>
      </c>
      <c r="B569" t="s">
        <v>8263</v>
      </c>
      <c r="C569" t="s">
        <v>74</v>
      </c>
      <c r="D569" t="s">
        <v>74</v>
      </c>
      <c r="E569" t="s">
        <v>74</v>
      </c>
      <c r="F569" t="s">
        <v>8263</v>
      </c>
      <c r="G569" t="s">
        <v>74</v>
      </c>
      <c r="H569" t="s">
        <v>74</v>
      </c>
      <c r="I569" t="s">
        <v>8264</v>
      </c>
      <c r="J569" t="s">
        <v>8265</v>
      </c>
      <c r="K569" t="s">
        <v>74</v>
      </c>
      <c r="L569" t="s">
        <v>74</v>
      </c>
      <c r="M569" t="s">
        <v>77</v>
      </c>
      <c r="N569" t="s">
        <v>1463</v>
      </c>
      <c r="O569" t="s">
        <v>74</v>
      </c>
      <c r="P569" t="s">
        <v>74</v>
      </c>
      <c r="Q569" t="s">
        <v>74</v>
      </c>
      <c r="R569" t="s">
        <v>74</v>
      </c>
      <c r="S569" t="s">
        <v>74</v>
      </c>
      <c r="T569" t="s">
        <v>74</v>
      </c>
      <c r="U569" t="s">
        <v>74</v>
      </c>
      <c r="V569" t="s">
        <v>74</v>
      </c>
      <c r="W569" t="s">
        <v>8266</v>
      </c>
      <c r="X569" t="s">
        <v>8267</v>
      </c>
      <c r="Y569" t="s">
        <v>8268</v>
      </c>
      <c r="Z569" t="s">
        <v>74</v>
      </c>
      <c r="AA569" t="s">
        <v>74</v>
      </c>
      <c r="AB569" t="s">
        <v>74</v>
      </c>
      <c r="AC569" t="s">
        <v>74</v>
      </c>
      <c r="AD569" t="s">
        <v>74</v>
      </c>
      <c r="AE569" t="s">
        <v>74</v>
      </c>
      <c r="AF569" t="s">
        <v>74</v>
      </c>
      <c r="AG569">
        <v>1</v>
      </c>
      <c r="AH569">
        <v>0</v>
      </c>
      <c r="AI569">
        <v>0</v>
      </c>
      <c r="AJ569">
        <v>0</v>
      </c>
      <c r="AK569">
        <v>1</v>
      </c>
      <c r="AL569" t="s">
        <v>3010</v>
      </c>
      <c r="AM569" t="s">
        <v>1417</v>
      </c>
      <c r="AN569" t="s">
        <v>3011</v>
      </c>
      <c r="AO569" t="s">
        <v>8269</v>
      </c>
      <c r="AP569" t="s">
        <v>74</v>
      </c>
      <c r="AQ569" t="s">
        <v>74</v>
      </c>
      <c r="AR569" t="s">
        <v>8270</v>
      </c>
      <c r="AS569" t="s">
        <v>8271</v>
      </c>
      <c r="AT569" t="s">
        <v>4117</v>
      </c>
      <c r="AU569">
        <v>2004</v>
      </c>
      <c r="AV569">
        <v>30</v>
      </c>
      <c r="AW569">
        <v>1</v>
      </c>
      <c r="AX569" t="s">
        <v>74</v>
      </c>
      <c r="AY569" t="s">
        <v>74</v>
      </c>
      <c r="AZ569" t="s">
        <v>74</v>
      </c>
      <c r="BA569" t="s">
        <v>74</v>
      </c>
      <c r="BB569">
        <v>198</v>
      </c>
      <c r="BC569">
        <v>200</v>
      </c>
      <c r="BD569" t="s">
        <v>74</v>
      </c>
      <c r="BE569" t="s">
        <v>8272</v>
      </c>
      <c r="BF569" t="str">
        <f>HYPERLINK("http://dx.doi.org/10.1016/j.jhg.2003.11.012","http://dx.doi.org/10.1016/j.jhg.2003.11.012")</f>
        <v>http://dx.doi.org/10.1016/j.jhg.2003.11.012</v>
      </c>
      <c r="BG569" t="s">
        <v>74</v>
      </c>
      <c r="BH569" t="s">
        <v>74</v>
      </c>
      <c r="BI569">
        <v>3</v>
      </c>
      <c r="BJ569" t="s">
        <v>8273</v>
      </c>
      <c r="BK569" t="s">
        <v>8260</v>
      </c>
      <c r="BL569" t="s">
        <v>8274</v>
      </c>
      <c r="BM569" t="s">
        <v>8275</v>
      </c>
      <c r="BN569" t="s">
        <v>74</v>
      </c>
      <c r="BO569" t="s">
        <v>74</v>
      </c>
      <c r="BP569" t="s">
        <v>74</v>
      </c>
      <c r="BQ569" t="s">
        <v>74</v>
      </c>
      <c r="BR569" t="s">
        <v>99</v>
      </c>
      <c r="BS569" t="s">
        <v>8276</v>
      </c>
      <c r="BT569" t="str">
        <f>HYPERLINK("https%3A%2F%2Fwww.webofscience.com%2Fwos%2Fwoscc%2Ffull-record%2FWOS:000221146000022","View Full Record in Web of Science")</f>
        <v>View Full Record in Web of Science</v>
      </c>
    </row>
    <row r="570" spans="1:72" x14ac:dyDescent="0.15">
      <c r="A570" t="s">
        <v>72</v>
      </c>
      <c r="B570" t="s">
        <v>8277</v>
      </c>
      <c r="C570" t="s">
        <v>74</v>
      </c>
      <c r="D570" t="s">
        <v>74</v>
      </c>
      <c r="E570" t="s">
        <v>74</v>
      </c>
      <c r="F570" t="s">
        <v>8278</v>
      </c>
      <c r="G570" t="s">
        <v>74</v>
      </c>
      <c r="H570" t="s">
        <v>74</v>
      </c>
      <c r="I570" t="s">
        <v>8279</v>
      </c>
      <c r="J570" t="s">
        <v>8280</v>
      </c>
      <c r="K570" t="s">
        <v>74</v>
      </c>
      <c r="L570" t="s">
        <v>74</v>
      </c>
      <c r="M570" t="s">
        <v>77</v>
      </c>
      <c r="N570" t="s">
        <v>78</v>
      </c>
      <c r="O570" t="s">
        <v>74</v>
      </c>
      <c r="P570" t="s">
        <v>74</v>
      </c>
      <c r="Q570" t="s">
        <v>74</v>
      </c>
      <c r="R570" t="s">
        <v>74</v>
      </c>
      <c r="S570" t="s">
        <v>74</v>
      </c>
      <c r="T570" t="s">
        <v>8281</v>
      </c>
      <c r="U570" t="s">
        <v>8282</v>
      </c>
      <c r="V570" t="s">
        <v>8283</v>
      </c>
      <c r="W570" t="s">
        <v>8284</v>
      </c>
      <c r="X570" t="s">
        <v>8285</v>
      </c>
      <c r="Y570" t="s">
        <v>8286</v>
      </c>
      <c r="Z570" t="s">
        <v>8287</v>
      </c>
      <c r="AA570" t="s">
        <v>8288</v>
      </c>
      <c r="AB570" t="s">
        <v>8289</v>
      </c>
      <c r="AC570" t="s">
        <v>8290</v>
      </c>
      <c r="AD570" t="s">
        <v>8291</v>
      </c>
      <c r="AE570" t="s">
        <v>8292</v>
      </c>
      <c r="AF570" t="s">
        <v>74</v>
      </c>
      <c r="AG570">
        <v>19</v>
      </c>
      <c r="AH570">
        <v>29</v>
      </c>
      <c r="AI570">
        <v>43</v>
      </c>
      <c r="AJ570">
        <v>0</v>
      </c>
      <c r="AK570">
        <v>8</v>
      </c>
      <c r="AL570" t="s">
        <v>86</v>
      </c>
      <c r="AM570" t="s">
        <v>87</v>
      </c>
      <c r="AN570" t="s">
        <v>2007</v>
      </c>
      <c r="AO570" t="s">
        <v>8293</v>
      </c>
      <c r="AP570" t="s">
        <v>8294</v>
      </c>
      <c r="AQ570" t="s">
        <v>74</v>
      </c>
      <c r="AR570" t="s">
        <v>8295</v>
      </c>
      <c r="AS570" t="s">
        <v>8296</v>
      </c>
      <c r="AT570" t="s">
        <v>74</v>
      </c>
      <c r="AU570">
        <v>2004</v>
      </c>
      <c r="AV570">
        <v>16</v>
      </c>
      <c r="AW570">
        <v>5</v>
      </c>
      <c r="AX570" t="s">
        <v>74</v>
      </c>
      <c r="AY570" t="s">
        <v>74</v>
      </c>
      <c r="AZ570" t="s">
        <v>74</v>
      </c>
      <c r="BA570" t="s">
        <v>74</v>
      </c>
      <c r="BB570">
        <v>537</v>
      </c>
      <c r="BC570">
        <v>543</v>
      </c>
      <c r="BD570" t="s">
        <v>74</v>
      </c>
      <c r="BE570" t="s">
        <v>74</v>
      </c>
      <c r="BF570" t="s">
        <v>74</v>
      </c>
      <c r="BG570" t="s">
        <v>74</v>
      </c>
      <c r="BH570" t="s">
        <v>74</v>
      </c>
      <c r="BI570">
        <v>7</v>
      </c>
      <c r="BJ570" t="s">
        <v>8297</v>
      </c>
      <c r="BK570" t="s">
        <v>96</v>
      </c>
      <c r="BL570" t="s">
        <v>8297</v>
      </c>
      <c r="BM570" t="s">
        <v>8298</v>
      </c>
      <c r="BN570" t="s">
        <v>74</v>
      </c>
      <c r="BO570" t="s">
        <v>74</v>
      </c>
      <c r="BP570" t="s">
        <v>74</v>
      </c>
      <c r="BQ570" t="s">
        <v>74</v>
      </c>
      <c r="BR570" t="s">
        <v>99</v>
      </c>
      <c r="BS570" t="s">
        <v>8299</v>
      </c>
      <c r="BT570" t="str">
        <f>HYPERLINK("https%3A%2F%2Fwww.webofscience.com%2Fwos%2Fwoscc%2Ffull-record%2FWOS:000208261100005","View Full Record in Web of Science")</f>
        <v>View Full Record in Web of Science</v>
      </c>
    </row>
    <row r="571" spans="1:72" x14ac:dyDescent="0.15">
      <c r="A571" t="s">
        <v>72</v>
      </c>
      <c r="B571" t="s">
        <v>8300</v>
      </c>
      <c r="C571" t="s">
        <v>74</v>
      </c>
      <c r="D571" t="s">
        <v>74</v>
      </c>
      <c r="E571" t="s">
        <v>74</v>
      </c>
      <c r="F571" t="s">
        <v>8301</v>
      </c>
      <c r="G571" t="s">
        <v>74</v>
      </c>
      <c r="H571" t="s">
        <v>74</v>
      </c>
      <c r="I571" t="s">
        <v>8302</v>
      </c>
      <c r="J571" t="s">
        <v>8280</v>
      </c>
      <c r="K571" t="s">
        <v>74</v>
      </c>
      <c r="L571" t="s">
        <v>74</v>
      </c>
      <c r="M571" t="s">
        <v>77</v>
      </c>
      <c r="N571" t="s">
        <v>78</v>
      </c>
      <c r="O571" t="s">
        <v>74</v>
      </c>
      <c r="P571" t="s">
        <v>74</v>
      </c>
      <c r="Q571" t="s">
        <v>74</v>
      </c>
      <c r="R571" t="s">
        <v>74</v>
      </c>
      <c r="S571" t="s">
        <v>74</v>
      </c>
      <c r="T571" t="s">
        <v>8303</v>
      </c>
      <c r="U571" t="s">
        <v>74</v>
      </c>
      <c r="V571" t="s">
        <v>8304</v>
      </c>
      <c r="W571" t="s">
        <v>8305</v>
      </c>
      <c r="X571" t="s">
        <v>4033</v>
      </c>
      <c r="Y571" t="s">
        <v>8306</v>
      </c>
      <c r="Z571" t="s">
        <v>8307</v>
      </c>
      <c r="AA571" t="s">
        <v>8308</v>
      </c>
      <c r="AB571" t="s">
        <v>74</v>
      </c>
      <c r="AC571" t="s">
        <v>8309</v>
      </c>
      <c r="AD571" t="s">
        <v>8310</v>
      </c>
      <c r="AE571" t="s">
        <v>8311</v>
      </c>
      <c r="AF571" t="s">
        <v>74</v>
      </c>
      <c r="AG571">
        <v>12</v>
      </c>
      <c r="AH571">
        <v>0</v>
      </c>
      <c r="AI571">
        <v>0</v>
      </c>
      <c r="AJ571">
        <v>1</v>
      </c>
      <c r="AK571">
        <v>4</v>
      </c>
      <c r="AL571" t="s">
        <v>235</v>
      </c>
      <c r="AM571" t="s">
        <v>87</v>
      </c>
      <c r="AN571" t="s">
        <v>236</v>
      </c>
      <c r="AO571" t="s">
        <v>8293</v>
      </c>
      <c r="AP571" t="s">
        <v>74</v>
      </c>
      <c r="AQ571" t="s">
        <v>74</v>
      </c>
      <c r="AR571" t="s">
        <v>8295</v>
      </c>
      <c r="AS571" t="s">
        <v>8296</v>
      </c>
      <c r="AT571" t="s">
        <v>74</v>
      </c>
      <c r="AU571">
        <v>2004</v>
      </c>
      <c r="AV571">
        <v>16</v>
      </c>
      <c r="AW571">
        <v>5</v>
      </c>
      <c r="AX571" t="s">
        <v>74</v>
      </c>
      <c r="AY571" t="s">
        <v>74</v>
      </c>
      <c r="AZ571" t="s">
        <v>74</v>
      </c>
      <c r="BA571" t="s">
        <v>74</v>
      </c>
      <c r="BB571">
        <v>544</v>
      </c>
      <c r="BC571">
        <v>547</v>
      </c>
      <c r="BD571" t="s">
        <v>74</v>
      </c>
      <c r="BE571" t="s">
        <v>74</v>
      </c>
      <c r="BF571" t="s">
        <v>74</v>
      </c>
      <c r="BG571" t="s">
        <v>74</v>
      </c>
      <c r="BH571" t="s">
        <v>74</v>
      </c>
      <c r="BI571">
        <v>4</v>
      </c>
      <c r="BJ571" t="s">
        <v>8297</v>
      </c>
      <c r="BK571" t="s">
        <v>96</v>
      </c>
      <c r="BL571" t="s">
        <v>8297</v>
      </c>
      <c r="BM571" t="s">
        <v>8298</v>
      </c>
      <c r="BN571" t="s">
        <v>74</v>
      </c>
      <c r="BO571" t="s">
        <v>74</v>
      </c>
      <c r="BP571" t="s">
        <v>74</v>
      </c>
      <c r="BQ571" t="s">
        <v>74</v>
      </c>
      <c r="BR571" t="s">
        <v>99</v>
      </c>
      <c r="BS571" t="s">
        <v>8312</v>
      </c>
      <c r="BT571" t="str">
        <f>HYPERLINK("https%3A%2F%2Fwww.webofscience.com%2Fwos%2Fwoscc%2Ffull-record%2FWOS:000208261100006","View Full Record in Web of Science")</f>
        <v>View Full Record in Web of Science</v>
      </c>
    </row>
    <row r="572" spans="1:72" x14ac:dyDescent="0.15">
      <c r="A572" t="s">
        <v>72</v>
      </c>
      <c r="B572" t="s">
        <v>8313</v>
      </c>
      <c r="C572" t="s">
        <v>74</v>
      </c>
      <c r="D572" t="s">
        <v>74</v>
      </c>
      <c r="E572" t="s">
        <v>74</v>
      </c>
      <c r="F572" t="s">
        <v>8313</v>
      </c>
      <c r="G572" t="s">
        <v>74</v>
      </c>
      <c r="H572" t="s">
        <v>74</v>
      </c>
      <c r="I572" t="s">
        <v>8314</v>
      </c>
      <c r="J572" t="s">
        <v>1673</v>
      </c>
      <c r="K572" t="s">
        <v>74</v>
      </c>
      <c r="L572" t="s">
        <v>74</v>
      </c>
      <c r="M572" t="s">
        <v>77</v>
      </c>
      <c r="N572" t="s">
        <v>268</v>
      </c>
      <c r="O572" t="s">
        <v>74</v>
      </c>
      <c r="P572" t="s">
        <v>74</v>
      </c>
      <c r="Q572" t="s">
        <v>74</v>
      </c>
      <c r="R572" t="s">
        <v>74</v>
      </c>
      <c r="S572" t="s">
        <v>74</v>
      </c>
      <c r="T572" t="s">
        <v>8315</v>
      </c>
      <c r="U572" t="s">
        <v>8316</v>
      </c>
      <c r="V572" t="s">
        <v>8317</v>
      </c>
      <c r="W572" t="s">
        <v>8318</v>
      </c>
      <c r="X572" t="s">
        <v>8319</v>
      </c>
      <c r="Y572" t="s">
        <v>8320</v>
      </c>
      <c r="Z572" t="s">
        <v>8321</v>
      </c>
      <c r="AA572" t="s">
        <v>8322</v>
      </c>
      <c r="AB572" t="s">
        <v>8323</v>
      </c>
      <c r="AC572" t="s">
        <v>74</v>
      </c>
      <c r="AD572" t="s">
        <v>74</v>
      </c>
      <c r="AE572" t="s">
        <v>74</v>
      </c>
      <c r="AF572" t="s">
        <v>74</v>
      </c>
      <c r="AG572">
        <v>141</v>
      </c>
      <c r="AH572">
        <v>651</v>
      </c>
      <c r="AI572">
        <v>698</v>
      </c>
      <c r="AJ572">
        <v>2</v>
      </c>
      <c r="AK572">
        <v>111</v>
      </c>
      <c r="AL572" t="s">
        <v>685</v>
      </c>
      <c r="AM572" t="s">
        <v>529</v>
      </c>
      <c r="AN572" t="s">
        <v>686</v>
      </c>
      <c r="AO572" t="s">
        <v>1683</v>
      </c>
      <c r="AP572" t="s">
        <v>8324</v>
      </c>
      <c r="AQ572" t="s">
        <v>74</v>
      </c>
      <c r="AR572" t="s">
        <v>1684</v>
      </c>
      <c r="AS572" t="s">
        <v>1685</v>
      </c>
      <c r="AT572" t="s">
        <v>4117</v>
      </c>
      <c r="AU572">
        <v>2004</v>
      </c>
      <c r="AV572">
        <v>44</v>
      </c>
      <c r="AW572" t="s">
        <v>536</v>
      </c>
      <c r="AX572" t="s">
        <v>74</v>
      </c>
      <c r="AY572" t="s">
        <v>74</v>
      </c>
      <c r="AZ572" t="s">
        <v>74</v>
      </c>
      <c r="BA572" t="s">
        <v>74</v>
      </c>
      <c r="BB572">
        <v>83</v>
      </c>
      <c r="BC572">
        <v>105</v>
      </c>
      <c r="BD572" t="s">
        <v>74</v>
      </c>
      <c r="BE572" t="s">
        <v>8325</v>
      </c>
      <c r="BF572" t="str">
        <f>HYPERLINK("http://dx.doi.org/10.1016/j.jmarsys.2003.09.005","http://dx.doi.org/10.1016/j.jmarsys.2003.09.005")</f>
        <v>http://dx.doi.org/10.1016/j.jmarsys.2003.09.005</v>
      </c>
      <c r="BG572" t="s">
        <v>74</v>
      </c>
      <c r="BH572" t="s">
        <v>74</v>
      </c>
      <c r="BI572">
        <v>23</v>
      </c>
      <c r="BJ572" t="s">
        <v>1687</v>
      </c>
      <c r="BK572" t="s">
        <v>96</v>
      </c>
      <c r="BL572" t="s">
        <v>1688</v>
      </c>
      <c r="BM572" t="s">
        <v>8326</v>
      </c>
      <c r="BN572" t="s">
        <v>74</v>
      </c>
      <c r="BO572" t="s">
        <v>74</v>
      </c>
      <c r="BP572" t="s">
        <v>74</v>
      </c>
      <c r="BQ572" t="s">
        <v>74</v>
      </c>
      <c r="BR572" t="s">
        <v>99</v>
      </c>
      <c r="BS572" t="s">
        <v>8327</v>
      </c>
      <c r="BT572" t="str">
        <f>HYPERLINK("https%3A%2F%2Fwww.webofscience.com%2Fwos%2Fwoscc%2Ffull-record%2FWOS:000188710300005","View Full Record in Web of Science")</f>
        <v>View Full Record in Web of Science</v>
      </c>
    </row>
    <row r="573" spans="1:72" x14ac:dyDescent="0.15">
      <c r="A573" t="s">
        <v>72</v>
      </c>
      <c r="B573" t="s">
        <v>8328</v>
      </c>
      <c r="C573" t="s">
        <v>74</v>
      </c>
      <c r="D573" t="s">
        <v>74</v>
      </c>
      <c r="E573" t="s">
        <v>74</v>
      </c>
      <c r="F573" t="s">
        <v>8328</v>
      </c>
      <c r="G573" t="s">
        <v>74</v>
      </c>
      <c r="H573" t="s">
        <v>74</v>
      </c>
      <c r="I573" t="s">
        <v>8329</v>
      </c>
      <c r="J573" t="s">
        <v>8330</v>
      </c>
      <c r="K573" t="s">
        <v>74</v>
      </c>
      <c r="L573" t="s">
        <v>74</v>
      </c>
      <c r="M573" t="s">
        <v>77</v>
      </c>
      <c r="N573" t="s">
        <v>78</v>
      </c>
      <c r="O573" t="s">
        <v>74</v>
      </c>
      <c r="P573" t="s">
        <v>74</v>
      </c>
      <c r="Q573" t="s">
        <v>74</v>
      </c>
      <c r="R573" t="s">
        <v>74</v>
      </c>
      <c r="S573" t="s">
        <v>74</v>
      </c>
      <c r="T573" t="s">
        <v>74</v>
      </c>
      <c r="U573" t="s">
        <v>8331</v>
      </c>
      <c r="V573" t="s">
        <v>8332</v>
      </c>
      <c r="W573" t="s">
        <v>8333</v>
      </c>
      <c r="X573" t="s">
        <v>3159</v>
      </c>
      <c r="Y573" t="s">
        <v>8334</v>
      </c>
      <c r="Z573" t="s">
        <v>8335</v>
      </c>
      <c r="AA573" t="s">
        <v>8336</v>
      </c>
      <c r="AB573" t="s">
        <v>8337</v>
      </c>
      <c r="AC573" t="s">
        <v>74</v>
      </c>
      <c r="AD573" t="s">
        <v>74</v>
      </c>
      <c r="AE573" t="s">
        <v>74</v>
      </c>
      <c r="AF573" t="s">
        <v>74</v>
      </c>
      <c r="AG573">
        <v>21</v>
      </c>
      <c r="AH573">
        <v>2</v>
      </c>
      <c r="AI573">
        <v>2</v>
      </c>
      <c r="AJ573">
        <v>0</v>
      </c>
      <c r="AK573">
        <v>8</v>
      </c>
      <c r="AL573" t="s">
        <v>86</v>
      </c>
      <c r="AM573" t="s">
        <v>3376</v>
      </c>
      <c r="AN573" t="s">
        <v>3377</v>
      </c>
      <c r="AO573" t="s">
        <v>8338</v>
      </c>
      <c r="AP573" t="s">
        <v>8339</v>
      </c>
      <c r="AQ573" t="s">
        <v>74</v>
      </c>
      <c r="AR573" t="s">
        <v>8340</v>
      </c>
      <c r="AS573" t="s">
        <v>8341</v>
      </c>
      <c r="AT573" t="s">
        <v>74</v>
      </c>
      <c r="AU573">
        <v>2004</v>
      </c>
      <c r="AV573">
        <v>259</v>
      </c>
      <c r="AW573">
        <v>1</v>
      </c>
      <c r="AX573" t="s">
        <v>74</v>
      </c>
      <c r="AY573" t="s">
        <v>74</v>
      </c>
      <c r="AZ573" t="s">
        <v>74</v>
      </c>
      <c r="BA573" t="s">
        <v>74</v>
      </c>
      <c r="BB573">
        <v>199</v>
      </c>
      <c r="BC573">
        <v>202</v>
      </c>
      <c r="BD573" t="s">
        <v>74</v>
      </c>
      <c r="BE573" t="s">
        <v>8342</v>
      </c>
      <c r="BF573" t="str">
        <f>HYPERLINK("http://dx.doi.org/10.1023/B:JRNC.0000015829.59314.4e","http://dx.doi.org/10.1023/B:JRNC.0000015829.59314.4e")</f>
        <v>http://dx.doi.org/10.1023/B:JRNC.0000015829.59314.4e</v>
      </c>
      <c r="BG573" t="s">
        <v>74</v>
      </c>
      <c r="BH573" t="s">
        <v>74</v>
      </c>
      <c r="BI573">
        <v>4</v>
      </c>
      <c r="BJ573" t="s">
        <v>8343</v>
      </c>
      <c r="BK573" t="s">
        <v>96</v>
      </c>
      <c r="BL573" t="s">
        <v>8344</v>
      </c>
      <c r="BM573" t="s">
        <v>8345</v>
      </c>
      <c r="BN573" t="s">
        <v>74</v>
      </c>
      <c r="BO573" t="s">
        <v>74</v>
      </c>
      <c r="BP573" t="s">
        <v>74</v>
      </c>
      <c r="BQ573" t="s">
        <v>74</v>
      </c>
      <c r="BR573" t="s">
        <v>99</v>
      </c>
      <c r="BS573" t="s">
        <v>8346</v>
      </c>
      <c r="BT573" t="str">
        <f>HYPERLINK("https%3A%2F%2Fwww.webofscience.com%2Fwos%2Fwoscc%2Ffull-record%2FWOS:000188924700032","View Full Record in Web of Science")</f>
        <v>View Full Record in Web of Science</v>
      </c>
    </row>
    <row r="574" spans="1:72" x14ac:dyDescent="0.15">
      <c r="A574" t="s">
        <v>72</v>
      </c>
      <c r="B574" t="s">
        <v>8347</v>
      </c>
      <c r="C574" t="s">
        <v>74</v>
      </c>
      <c r="D574" t="s">
        <v>74</v>
      </c>
      <c r="E574" t="s">
        <v>74</v>
      </c>
      <c r="F574" t="s">
        <v>8347</v>
      </c>
      <c r="G574" t="s">
        <v>74</v>
      </c>
      <c r="H574" t="s">
        <v>74</v>
      </c>
      <c r="I574" t="s">
        <v>8348</v>
      </c>
      <c r="J574" t="s">
        <v>8349</v>
      </c>
      <c r="K574" t="s">
        <v>74</v>
      </c>
      <c r="L574" t="s">
        <v>74</v>
      </c>
      <c r="M574" t="s">
        <v>77</v>
      </c>
      <c r="N574" t="s">
        <v>78</v>
      </c>
      <c r="O574" t="s">
        <v>74</v>
      </c>
      <c r="P574" t="s">
        <v>74</v>
      </c>
      <c r="Q574" t="s">
        <v>74</v>
      </c>
      <c r="R574" t="s">
        <v>74</v>
      </c>
      <c r="S574" t="s">
        <v>74</v>
      </c>
      <c r="T574" t="s">
        <v>8350</v>
      </c>
      <c r="U574" t="s">
        <v>8351</v>
      </c>
      <c r="V574" t="s">
        <v>8352</v>
      </c>
      <c r="W574" t="s">
        <v>8353</v>
      </c>
      <c r="X574" t="s">
        <v>8354</v>
      </c>
      <c r="Y574" t="s">
        <v>8355</v>
      </c>
      <c r="Z574" t="s">
        <v>8356</v>
      </c>
      <c r="AA574" t="s">
        <v>74</v>
      </c>
      <c r="AB574" t="s">
        <v>8357</v>
      </c>
      <c r="AC574" t="s">
        <v>74</v>
      </c>
      <c r="AD574" t="s">
        <v>74</v>
      </c>
      <c r="AE574" t="s">
        <v>74</v>
      </c>
      <c r="AF574" t="s">
        <v>74</v>
      </c>
      <c r="AG574">
        <v>42</v>
      </c>
      <c r="AH574">
        <v>74</v>
      </c>
      <c r="AI574">
        <v>75</v>
      </c>
      <c r="AJ574">
        <v>0</v>
      </c>
      <c r="AK574">
        <v>3</v>
      </c>
      <c r="AL574" t="s">
        <v>213</v>
      </c>
      <c r="AM574" t="s">
        <v>214</v>
      </c>
      <c r="AN574" t="s">
        <v>215</v>
      </c>
      <c r="AO574" t="s">
        <v>8358</v>
      </c>
      <c r="AP574" t="s">
        <v>74</v>
      </c>
      <c r="AQ574" t="s">
        <v>74</v>
      </c>
      <c r="AR574" t="s">
        <v>8359</v>
      </c>
      <c r="AS574" t="s">
        <v>8360</v>
      </c>
      <c r="AT574" t="s">
        <v>74</v>
      </c>
      <c r="AU574">
        <v>2004</v>
      </c>
      <c r="AV574">
        <v>26</v>
      </c>
      <c r="AW574">
        <v>2</v>
      </c>
      <c r="AX574" t="s">
        <v>74</v>
      </c>
      <c r="AY574" t="s">
        <v>74</v>
      </c>
      <c r="AZ574" t="s">
        <v>74</v>
      </c>
      <c r="BA574" t="s">
        <v>74</v>
      </c>
      <c r="BB574">
        <v>233</v>
      </c>
      <c r="BC574">
        <v>245</v>
      </c>
      <c r="BD574" t="s">
        <v>74</v>
      </c>
      <c r="BE574" t="s">
        <v>8361</v>
      </c>
      <c r="BF574" t="str">
        <f>HYPERLINK("http://dx.doi.org/10.1016/S0191-8141(03)00112-3","http://dx.doi.org/10.1016/S0191-8141(03)00112-3")</f>
        <v>http://dx.doi.org/10.1016/S0191-8141(03)00112-3</v>
      </c>
      <c r="BG574" t="s">
        <v>74</v>
      </c>
      <c r="BH574" t="s">
        <v>74</v>
      </c>
      <c r="BI574">
        <v>13</v>
      </c>
      <c r="BJ574" t="s">
        <v>560</v>
      </c>
      <c r="BK574" t="s">
        <v>96</v>
      </c>
      <c r="BL574" t="s">
        <v>561</v>
      </c>
      <c r="BM574" t="s">
        <v>8362</v>
      </c>
      <c r="BN574" t="s">
        <v>74</v>
      </c>
      <c r="BO574" t="s">
        <v>74</v>
      </c>
      <c r="BP574" t="s">
        <v>74</v>
      </c>
      <c r="BQ574" t="s">
        <v>74</v>
      </c>
      <c r="BR574" t="s">
        <v>99</v>
      </c>
      <c r="BS574" t="s">
        <v>8363</v>
      </c>
      <c r="BT574" t="str">
        <f>HYPERLINK("https%3A%2F%2Fwww.webofscience.com%2Fwos%2Fwoscc%2Ffull-record%2FWOS:000220644500004","View Full Record in Web of Science")</f>
        <v>View Full Record in Web of Science</v>
      </c>
    </row>
    <row r="575" spans="1:72" x14ac:dyDescent="0.15">
      <c r="A575" t="s">
        <v>3934</v>
      </c>
      <c r="B575" t="s">
        <v>8364</v>
      </c>
      <c r="C575" t="s">
        <v>74</v>
      </c>
      <c r="D575" t="s">
        <v>8365</v>
      </c>
      <c r="E575" t="s">
        <v>74</v>
      </c>
      <c r="F575" t="s">
        <v>8364</v>
      </c>
      <c r="G575" t="s">
        <v>74</v>
      </c>
      <c r="H575" t="s">
        <v>74</v>
      </c>
      <c r="I575" t="s">
        <v>8366</v>
      </c>
      <c r="J575" t="s">
        <v>8367</v>
      </c>
      <c r="K575" t="s">
        <v>8368</v>
      </c>
      <c r="L575" t="s">
        <v>74</v>
      </c>
      <c r="M575" t="s">
        <v>77</v>
      </c>
      <c r="N575" t="s">
        <v>3940</v>
      </c>
      <c r="O575" t="s">
        <v>8369</v>
      </c>
      <c r="P575" t="s">
        <v>8370</v>
      </c>
      <c r="Q575" t="s">
        <v>8371</v>
      </c>
      <c r="R575" t="s">
        <v>74</v>
      </c>
      <c r="S575" t="s">
        <v>74</v>
      </c>
      <c r="T575" t="s">
        <v>74</v>
      </c>
      <c r="U575" t="s">
        <v>8372</v>
      </c>
      <c r="V575" t="s">
        <v>8373</v>
      </c>
      <c r="W575" t="s">
        <v>8374</v>
      </c>
      <c r="X575" t="s">
        <v>8375</v>
      </c>
      <c r="Y575" t="s">
        <v>8376</v>
      </c>
      <c r="Z575" t="s">
        <v>74</v>
      </c>
      <c r="AA575" t="s">
        <v>74</v>
      </c>
      <c r="AB575" t="s">
        <v>74</v>
      </c>
      <c r="AC575" t="s">
        <v>74</v>
      </c>
      <c r="AD575" t="s">
        <v>74</v>
      </c>
      <c r="AE575" t="s">
        <v>74</v>
      </c>
      <c r="AF575" t="s">
        <v>74</v>
      </c>
      <c r="AG575">
        <v>42</v>
      </c>
      <c r="AH575">
        <v>0</v>
      </c>
      <c r="AI575">
        <v>0</v>
      </c>
      <c r="AJ575">
        <v>1</v>
      </c>
      <c r="AK575">
        <v>2</v>
      </c>
      <c r="AL575" t="s">
        <v>86</v>
      </c>
      <c r="AM575" t="s">
        <v>3376</v>
      </c>
      <c r="AN575" t="s">
        <v>7631</v>
      </c>
      <c r="AO575" t="s">
        <v>8377</v>
      </c>
      <c r="AP575" t="s">
        <v>74</v>
      </c>
      <c r="AQ575" t="s">
        <v>8378</v>
      </c>
      <c r="AR575" t="s">
        <v>8379</v>
      </c>
      <c r="AS575" t="s">
        <v>8380</v>
      </c>
      <c r="AT575" t="s">
        <v>74</v>
      </c>
      <c r="AU575">
        <v>2004</v>
      </c>
      <c r="AV575">
        <v>7</v>
      </c>
      <c r="AW575" t="s">
        <v>74</v>
      </c>
      <c r="AX575" t="s">
        <v>74</v>
      </c>
      <c r="AY575" t="s">
        <v>74</v>
      </c>
      <c r="AZ575" t="s">
        <v>74</v>
      </c>
      <c r="BA575" t="s">
        <v>74</v>
      </c>
      <c r="BB575">
        <v>269</v>
      </c>
      <c r="BC575">
        <v>273</v>
      </c>
      <c r="BD575" t="s">
        <v>74</v>
      </c>
      <c r="BE575" t="s">
        <v>74</v>
      </c>
      <c r="BF575" t="s">
        <v>74</v>
      </c>
      <c r="BG575" t="s">
        <v>74</v>
      </c>
      <c r="BH575" t="s">
        <v>74</v>
      </c>
      <c r="BI575">
        <v>5</v>
      </c>
      <c r="BJ575" t="s">
        <v>8381</v>
      </c>
      <c r="BK575" t="s">
        <v>3955</v>
      </c>
      <c r="BL575" t="s">
        <v>8382</v>
      </c>
      <c r="BM575" t="s">
        <v>8383</v>
      </c>
      <c r="BN575" t="s">
        <v>74</v>
      </c>
      <c r="BO575" t="s">
        <v>74</v>
      </c>
      <c r="BP575" t="s">
        <v>74</v>
      </c>
      <c r="BQ575" t="s">
        <v>74</v>
      </c>
      <c r="BR575" t="s">
        <v>99</v>
      </c>
      <c r="BS575" t="s">
        <v>8384</v>
      </c>
      <c r="BT575" t="str">
        <f>HYPERLINK("https%3A%2F%2Fwww.webofscience.com%2Fwos%2Fwoscc%2Ffull-record%2FWOS:000230988300057","View Full Record in Web of Science")</f>
        <v>View Full Record in Web of Science</v>
      </c>
    </row>
    <row r="576" spans="1:72" x14ac:dyDescent="0.15">
      <c r="A576" t="s">
        <v>72</v>
      </c>
      <c r="B576" t="s">
        <v>8385</v>
      </c>
      <c r="C576" t="s">
        <v>74</v>
      </c>
      <c r="D576" t="s">
        <v>74</v>
      </c>
      <c r="E576" t="s">
        <v>74</v>
      </c>
      <c r="F576" t="s">
        <v>8385</v>
      </c>
      <c r="G576" t="s">
        <v>74</v>
      </c>
      <c r="H576" t="s">
        <v>74</v>
      </c>
      <c r="I576" t="s">
        <v>8386</v>
      </c>
      <c r="J576" t="s">
        <v>8387</v>
      </c>
      <c r="K576" t="s">
        <v>74</v>
      </c>
      <c r="L576" t="s">
        <v>74</v>
      </c>
      <c r="M576" t="s">
        <v>77</v>
      </c>
      <c r="N576" t="s">
        <v>78</v>
      </c>
      <c r="O576" t="s">
        <v>74</v>
      </c>
      <c r="P576" t="s">
        <v>74</v>
      </c>
      <c r="Q576" t="s">
        <v>74</v>
      </c>
      <c r="R576" t="s">
        <v>74</v>
      </c>
      <c r="S576" t="s">
        <v>74</v>
      </c>
      <c r="T576" t="s">
        <v>74</v>
      </c>
      <c r="U576" t="s">
        <v>8388</v>
      </c>
      <c r="V576" t="s">
        <v>8389</v>
      </c>
      <c r="W576" t="s">
        <v>8390</v>
      </c>
      <c r="X576" t="s">
        <v>8391</v>
      </c>
      <c r="Y576" t="s">
        <v>8392</v>
      </c>
      <c r="Z576" t="s">
        <v>8393</v>
      </c>
      <c r="AA576" t="s">
        <v>8394</v>
      </c>
      <c r="AB576" t="s">
        <v>74</v>
      </c>
      <c r="AC576" t="s">
        <v>74</v>
      </c>
      <c r="AD576" t="s">
        <v>74</v>
      </c>
      <c r="AE576" t="s">
        <v>74</v>
      </c>
      <c r="AF576" t="s">
        <v>74</v>
      </c>
      <c r="AG576">
        <v>42</v>
      </c>
      <c r="AH576">
        <v>19</v>
      </c>
      <c r="AI576">
        <v>19</v>
      </c>
      <c r="AJ576">
        <v>2</v>
      </c>
      <c r="AK576">
        <v>13</v>
      </c>
      <c r="AL576" t="s">
        <v>198</v>
      </c>
      <c r="AM576" t="s">
        <v>178</v>
      </c>
      <c r="AN576" t="s">
        <v>179</v>
      </c>
      <c r="AO576" t="s">
        <v>8395</v>
      </c>
      <c r="AP576" t="s">
        <v>8396</v>
      </c>
      <c r="AQ576" t="s">
        <v>74</v>
      </c>
      <c r="AR576" t="s">
        <v>8397</v>
      </c>
      <c r="AS576" t="s">
        <v>8398</v>
      </c>
      <c r="AT576" t="s">
        <v>4117</v>
      </c>
      <c r="AU576">
        <v>2004</v>
      </c>
      <c r="AV576">
        <v>49</v>
      </c>
      <c r="AW576">
        <v>1</v>
      </c>
      <c r="AX576" t="s">
        <v>74</v>
      </c>
      <c r="AY576" t="s">
        <v>74</v>
      </c>
      <c r="AZ576" t="s">
        <v>74</v>
      </c>
      <c r="BA576" t="s">
        <v>74</v>
      </c>
      <c r="BB576">
        <v>202</v>
      </c>
      <c r="BC576">
        <v>214</v>
      </c>
      <c r="BD576" t="s">
        <v>74</v>
      </c>
      <c r="BE576" t="s">
        <v>8399</v>
      </c>
      <c r="BF576" t="str">
        <f>HYPERLINK("http://dx.doi.org/10.4319/lo.2004.49.1.0202","http://dx.doi.org/10.4319/lo.2004.49.1.0202")</f>
        <v>http://dx.doi.org/10.4319/lo.2004.49.1.0202</v>
      </c>
      <c r="BG576" t="s">
        <v>74</v>
      </c>
      <c r="BH576" t="s">
        <v>74</v>
      </c>
      <c r="BI576">
        <v>13</v>
      </c>
      <c r="BJ576" t="s">
        <v>3261</v>
      </c>
      <c r="BK576" t="s">
        <v>96</v>
      </c>
      <c r="BL576" t="s">
        <v>3192</v>
      </c>
      <c r="BM576" t="s">
        <v>8400</v>
      </c>
      <c r="BN576" t="s">
        <v>74</v>
      </c>
      <c r="BO576" t="s">
        <v>541</v>
      </c>
      <c r="BP576" t="s">
        <v>74</v>
      </c>
      <c r="BQ576" t="s">
        <v>74</v>
      </c>
      <c r="BR576" t="s">
        <v>99</v>
      </c>
      <c r="BS576" t="s">
        <v>8401</v>
      </c>
      <c r="BT576" t="str">
        <f>HYPERLINK("https%3A%2F%2Fwww.webofscience.com%2Fwos%2Fwoscc%2Ffull-record%2FWOS:000188381100022","View Full Record in Web of Science")</f>
        <v>View Full Record in Web of Science</v>
      </c>
    </row>
    <row r="577" spans="1:72" x14ac:dyDescent="0.15">
      <c r="A577" t="s">
        <v>72</v>
      </c>
      <c r="B577" t="s">
        <v>8402</v>
      </c>
      <c r="C577" t="s">
        <v>74</v>
      </c>
      <c r="D577" t="s">
        <v>74</v>
      </c>
      <c r="E577" t="s">
        <v>74</v>
      </c>
      <c r="F577" t="s">
        <v>8402</v>
      </c>
      <c r="G577" t="s">
        <v>74</v>
      </c>
      <c r="H577" t="s">
        <v>74</v>
      </c>
      <c r="I577" t="s">
        <v>8403</v>
      </c>
      <c r="J577" t="s">
        <v>8404</v>
      </c>
      <c r="K577" t="s">
        <v>74</v>
      </c>
      <c r="L577" t="s">
        <v>74</v>
      </c>
      <c r="M577" t="s">
        <v>77</v>
      </c>
      <c r="N577" t="s">
        <v>78</v>
      </c>
      <c r="O577" t="s">
        <v>74</v>
      </c>
      <c r="P577" t="s">
        <v>74</v>
      </c>
      <c r="Q577" t="s">
        <v>74</v>
      </c>
      <c r="R577" t="s">
        <v>74</v>
      </c>
      <c r="S577" t="s">
        <v>74</v>
      </c>
      <c r="T577" t="s">
        <v>8405</v>
      </c>
      <c r="U577" t="s">
        <v>8406</v>
      </c>
      <c r="V577" t="s">
        <v>8407</v>
      </c>
      <c r="W577" t="s">
        <v>8408</v>
      </c>
      <c r="X577" t="s">
        <v>8409</v>
      </c>
      <c r="Y577" t="s">
        <v>8410</v>
      </c>
      <c r="Z577" t="s">
        <v>8411</v>
      </c>
      <c r="AA577" t="s">
        <v>8412</v>
      </c>
      <c r="AB577" t="s">
        <v>8413</v>
      </c>
      <c r="AC577" t="s">
        <v>74</v>
      </c>
      <c r="AD577" t="s">
        <v>74</v>
      </c>
      <c r="AE577" t="s">
        <v>74</v>
      </c>
      <c r="AF577" t="s">
        <v>74</v>
      </c>
      <c r="AG577">
        <v>15</v>
      </c>
      <c r="AH577">
        <v>34</v>
      </c>
      <c r="AI577">
        <v>39</v>
      </c>
      <c r="AJ577">
        <v>0</v>
      </c>
      <c r="AK577">
        <v>12</v>
      </c>
      <c r="AL577" t="s">
        <v>8414</v>
      </c>
      <c r="AM577" t="s">
        <v>7062</v>
      </c>
      <c r="AN577" t="s">
        <v>7063</v>
      </c>
      <c r="AO577" t="s">
        <v>8415</v>
      </c>
      <c r="AP577" t="s">
        <v>74</v>
      </c>
      <c r="AQ577" t="s">
        <v>74</v>
      </c>
      <c r="AR577" t="s">
        <v>8416</v>
      </c>
      <c r="AS577" t="s">
        <v>8417</v>
      </c>
      <c r="AT577" t="s">
        <v>74</v>
      </c>
      <c r="AU577">
        <v>2004</v>
      </c>
      <c r="AV577">
        <v>55</v>
      </c>
      <c r="AW577">
        <v>3</v>
      </c>
      <c r="AX577" t="s">
        <v>74</v>
      </c>
      <c r="AY577" t="s">
        <v>74</v>
      </c>
      <c r="AZ577" t="s">
        <v>74</v>
      </c>
      <c r="BA577" t="s">
        <v>74</v>
      </c>
      <c r="BB577">
        <v>267</v>
      </c>
      <c r="BC577">
        <v>276</v>
      </c>
      <c r="BD577" t="s">
        <v>74</v>
      </c>
      <c r="BE577" t="s">
        <v>8418</v>
      </c>
      <c r="BF577" t="str">
        <f>HYPERLINK("http://dx.doi.org/10.1071/MF03115","http://dx.doi.org/10.1071/MF03115")</f>
        <v>http://dx.doi.org/10.1071/MF03115</v>
      </c>
      <c r="BG577" t="s">
        <v>74</v>
      </c>
      <c r="BH577" t="s">
        <v>74</v>
      </c>
      <c r="BI577">
        <v>10</v>
      </c>
      <c r="BJ577" t="s">
        <v>8419</v>
      </c>
      <c r="BK577" t="s">
        <v>96</v>
      </c>
      <c r="BL577" t="s">
        <v>3016</v>
      </c>
      <c r="BM577" t="s">
        <v>8420</v>
      </c>
      <c r="BN577" t="s">
        <v>74</v>
      </c>
      <c r="BO577" t="s">
        <v>74</v>
      </c>
      <c r="BP577" t="s">
        <v>74</v>
      </c>
      <c r="BQ577" t="s">
        <v>74</v>
      </c>
      <c r="BR577" t="s">
        <v>99</v>
      </c>
      <c r="BS577" t="s">
        <v>8421</v>
      </c>
      <c r="BT577" t="str">
        <f>HYPERLINK("https%3A%2F%2Fwww.webofscience.com%2Fwos%2Fwoscc%2Ffull-record%2FWOS:000221588200006","View Full Record in Web of Science")</f>
        <v>View Full Record in Web of Science</v>
      </c>
    </row>
    <row r="578" spans="1:72" x14ac:dyDescent="0.15">
      <c r="A578" t="s">
        <v>72</v>
      </c>
      <c r="B578" t="s">
        <v>8422</v>
      </c>
      <c r="C578" t="s">
        <v>74</v>
      </c>
      <c r="D578" t="s">
        <v>74</v>
      </c>
      <c r="E578" t="s">
        <v>74</v>
      </c>
      <c r="F578" t="s">
        <v>8422</v>
      </c>
      <c r="G578" t="s">
        <v>74</v>
      </c>
      <c r="H578" t="s">
        <v>74</v>
      </c>
      <c r="I578" t="s">
        <v>8423</v>
      </c>
      <c r="J578" t="s">
        <v>8404</v>
      </c>
      <c r="K578" t="s">
        <v>74</v>
      </c>
      <c r="L578" t="s">
        <v>74</v>
      </c>
      <c r="M578" t="s">
        <v>77</v>
      </c>
      <c r="N578" t="s">
        <v>822</v>
      </c>
      <c r="O578" t="s">
        <v>74</v>
      </c>
      <c r="P578" t="s">
        <v>74</v>
      </c>
      <c r="Q578" t="s">
        <v>74</v>
      </c>
      <c r="R578" t="s">
        <v>74</v>
      </c>
      <c r="S578" t="s">
        <v>74</v>
      </c>
      <c r="T578" t="s">
        <v>74</v>
      </c>
      <c r="U578" t="s">
        <v>8424</v>
      </c>
      <c r="V578" t="s">
        <v>74</v>
      </c>
      <c r="W578" t="s">
        <v>8425</v>
      </c>
      <c r="X578" t="s">
        <v>1760</v>
      </c>
      <c r="Y578" t="s">
        <v>8426</v>
      </c>
      <c r="Z578" t="s">
        <v>8427</v>
      </c>
      <c r="AA578" t="s">
        <v>8428</v>
      </c>
      <c r="AB578" t="s">
        <v>74</v>
      </c>
      <c r="AC578" t="s">
        <v>74</v>
      </c>
      <c r="AD578" t="s">
        <v>74</v>
      </c>
      <c r="AE578" t="s">
        <v>74</v>
      </c>
      <c r="AF578" t="s">
        <v>74</v>
      </c>
      <c r="AG578">
        <v>22</v>
      </c>
      <c r="AH578">
        <v>14</v>
      </c>
      <c r="AI578">
        <v>17</v>
      </c>
      <c r="AJ578">
        <v>2</v>
      </c>
      <c r="AK578">
        <v>6</v>
      </c>
      <c r="AL578" t="s">
        <v>5554</v>
      </c>
      <c r="AM578" t="s">
        <v>5555</v>
      </c>
      <c r="AN578" t="s">
        <v>5556</v>
      </c>
      <c r="AO578" t="s">
        <v>8415</v>
      </c>
      <c r="AP578" t="s">
        <v>8429</v>
      </c>
      <c r="AQ578" t="s">
        <v>74</v>
      </c>
      <c r="AR578" t="s">
        <v>8416</v>
      </c>
      <c r="AS578" t="s">
        <v>8417</v>
      </c>
      <c r="AT578" t="s">
        <v>74</v>
      </c>
      <c r="AU578">
        <v>2004</v>
      </c>
      <c r="AV578">
        <v>55</v>
      </c>
      <c r="AW578">
        <v>4</v>
      </c>
      <c r="AX578" t="s">
        <v>74</v>
      </c>
      <c r="AY578" t="s">
        <v>74</v>
      </c>
      <c r="AZ578" t="s">
        <v>8430</v>
      </c>
      <c r="BA578" t="s">
        <v>74</v>
      </c>
      <c r="BB578">
        <v>327</v>
      </c>
      <c r="BC578">
        <v>329</v>
      </c>
      <c r="BD578" t="s">
        <v>74</v>
      </c>
      <c r="BE578" t="s">
        <v>8431</v>
      </c>
      <c r="BF578" t="str">
        <f>HYPERLINK("http://dx.doi.org/10.1071/MF04075","http://dx.doi.org/10.1071/MF04075")</f>
        <v>http://dx.doi.org/10.1071/MF04075</v>
      </c>
      <c r="BG578" t="s">
        <v>74</v>
      </c>
      <c r="BH578" t="s">
        <v>74</v>
      </c>
      <c r="BI578">
        <v>3</v>
      </c>
      <c r="BJ578" t="s">
        <v>8419</v>
      </c>
      <c r="BK578" t="s">
        <v>96</v>
      </c>
      <c r="BL578" t="s">
        <v>3016</v>
      </c>
      <c r="BM578" t="s">
        <v>8432</v>
      </c>
      <c r="BN578" t="s">
        <v>74</v>
      </c>
      <c r="BO578" t="s">
        <v>817</v>
      </c>
      <c r="BP578" t="s">
        <v>74</v>
      </c>
      <c r="BQ578" t="s">
        <v>74</v>
      </c>
      <c r="BR578" t="s">
        <v>99</v>
      </c>
      <c r="BS578" t="s">
        <v>8433</v>
      </c>
      <c r="BT578" t="str">
        <f>HYPERLINK("https%3A%2F%2Fwww.webofscience.com%2Fwos%2Fwoscc%2Ffull-record%2FWOS:000222236600001","View Full Record in Web of Science")</f>
        <v>View Full Record in Web of Science</v>
      </c>
    </row>
    <row r="579" spans="1:72" x14ac:dyDescent="0.15">
      <c r="A579" t="s">
        <v>72</v>
      </c>
      <c r="B579" t="s">
        <v>8422</v>
      </c>
      <c r="C579" t="s">
        <v>74</v>
      </c>
      <c r="D579" t="s">
        <v>74</v>
      </c>
      <c r="E579" t="s">
        <v>74</v>
      </c>
      <c r="F579" t="s">
        <v>8422</v>
      </c>
      <c r="G579" t="s">
        <v>74</v>
      </c>
      <c r="H579" t="s">
        <v>74</v>
      </c>
      <c r="I579" t="s">
        <v>8434</v>
      </c>
      <c r="J579" t="s">
        <v>8404</v>
      </c>
      <c r="K579" t="s">
        <v>74</v>
      </c>
      <c r="L579" t="s">
        <v>74</v>
      </c>
      <c r="M579" t="s">
        <v>77</v>
      </c>
      <c r="N579" t="s">
        <v>311</v>
      </c>
      <c r="O579" t="s">
        <v>8435</v>
      </c>
      <c r="P579">
        <v>2003</v>
      </c>
      <c r="Q579" t="s">
        <v>8436</v>
      </c>
      <c r="R579" t="s">
        <v>74</v>
      </c>
      <c r="S579" t="s">
        <v>74</v>
      </c>
      <c r="T579" t="s">
        <v>8437</v>
      </c>
      <c r="U579" t="s">
        <v>8438</v>
      </c>
      <c r="V579" t="s">
        <v>8439</v>
      </c>
      <c r="W579" t="s">
        <v>8425</v>
      </c>
      <c r="X579" t="s">
        <v>1760</v>
      </c>
      <c r="Y579" t="s">
        <v>8426</v>
      </c>
      <c r="Z579" t="s">
        <v>8427</v>
      </c>
      <c r="AA579" t="s">
        <v>8428</v>
      </c>
      <c r="AB579" t="s">
        <v>74</v>
      </c>
      <c r="AC579" t="s">
        <v>74</v>
      </c>
      <c r="AD579" t="s">
        <v>74</v>
      </c>
      <c r="AE579" t="s">
        <v>74</v>
      </c>
      <c r="AF579" t="s">
        <v>74</v>
      </c>
      <c r="AG579">
        <v>94</v>
      </c>
      <c r="AH579">
        <v>72</v>
      </c>
      <c r="AI579">
        <v>84</v>
      </c>
      <c r="AJ579">
        <v>0</v>
      </c>
      <c r="AK579">
        <v>5</v>
      </c>
      <c r="AL579" t="s">
        <v>5554</v>
      </c>
      <c r="AM579" t="s">
        <v>5555</v>
      </c>
      <c r="AN579" t="s">
        <v>5556</v>
      </c>
      <c r="AO579" t="s">
        <v>8415</v>
      </c>
      <c r="AP579" t="s">
        <v>8429</v>
      </c>
      <c r="AQ579" t="s">
        <v>74</v>
      </c>
      <c r="AR579" t="s">
        <v>8416</v>
      </c>
      <c r="AS579" t="s">
        <v>8417</v>
      </c>
      <c r="AT579" t="s">
        <v>74</v>
      </c>
      <c r="AU579">
        <v>2004</v>
      </c>
      <c r="AV579">
        <v>55</v>
      </c>
      <c r="AW579">
        <v>4</v>
      </c>
      <c r="AX579" t="s">
        <v>74</v>
      </c>
      <c r="AY579" t="s">
        <v>74</v>
      </c>
      <c r="AZ579" t="s">
        <v>8430</v>
      </c>
      <c r="BA579" t="s">
        <v>74</v>
      </c>
      <c r="BB579">
        <v>357</v>
      </c>
      <c r="BC579">
        <v>365</v>
      </c>
      <c r="BD579" t="s">
        <v>74</v>
      </c>
      <c r="BE579" t="s">
        <v>8440</v>
      </c>
      <c r="BF579" t="str">
        <f>HYPERLINK("http://dx.doi.org/10.1071/MF03152","http://dx.doi.org/10.1071/MF03152")</f>
        <v>http://dx.doi.org/10.1071/MF03152</v>
      </c>
      <c r="BG579" t="s">
        <v>74</v>
      </c>
      <c r="BH579" t="s">
        <v>74</v>
      </c>
      <c r="BI579">
        <v>9</v>
      </c>
      <c r="BJ579" t="s">
        <v>8419</v>
      </c>
      <c r="BK579" t="s">
        <v>332</v>
      </c>
      <c r="BL579" t="s">
        <v>3016</v>
      </c>
      <c r="BM579" t="s">
        <v>8432</v>
      </c>
      <c r="BN579" t="s">
        <v>74</v>
      </c>
      <c r="BO579" t="s">
        <v>74</v>
      </c>
      <c r="BP579" t="s">
        <v>74</v>
      </c>
      <c r="BQ579" t="s">
        <v>74</v>
      </c>
      <c r="BR579" t="s">
        <v>99</v>
      </c>
      <c r="BS579" t="s">
        <v>8441</v>
      </c>
      <c r="BT579" t="str">
        <f>HYPERLINK("https%3A%2F%2Fwww.webofscience.com%2Fwos%2Fwoscc%2Ffull-record%2FWOS:000222236600004","View Full Record in Web of Science")</f>
        <v>View Full Record in Web of Science</v>
      </c>
    </row>
    <row r="580" spans="1:72" x14ac:dyDescent="0.15">
      <c r="A580" t="s">
        <v>72</v>
      </c>
      <c r="B580" t="s">
        <v>8442</v>
      </c>
      <c r="C580" t="s">
        <v>74</v>
      </c>
      <c r="D580" t="s">
        <v>74</v>
      </c>
      <c r="E580" t="s">
        <v>74</v>
      </c>
      <c r="F580" t="s">
        <v>8442</v>
      </c>
      <c r="G580" t="s">
        <v>74</v>
      </c>
      <c r="H580" t="s">
        <v>74</v>
      </c>
      <c r="I580" t="s">
        <v>8443</v>
      </c>
      <c r="J580" t="s">
        <v>8404</v>
      </c>
      <c r="K580" t="s">
        <v>74</v>
      </c>
      <c r="L580" t="s">
        <v>74</v>
      </c>
      <c r="M580" t="s">
        <v>77</v>
      </c>
      <c r="N580" t="s">
        <v>311</v>
      </c>
      <c r="O580" t="s">
        <v>8435</v>
      </c>
      <c r="P580">
        <v>2003</v>
      </c>
      <c r="Q580" t="s">
        <v>8436</v>
      </c>
      <c r="R580" t="s">
        <v>74</v>
      </c>
      <c r="S580" t="s">
        <v>74</v>
      </c>
      <c r="T580" t="s">
        <v>8444</v>
      </c>
      <c r="U580" t="s">
        <v>8445</v>
      </c>
      <c r="V580" t="s">
        <v>8446</v>
      </c>
      <c r="W580" t="s">
        <v>8447</v>
      </c>
      <c r="X580" t="s">
        <v>8448</v>
      </c>
      <c r="Y580" t="s">
        <v>8449</v>
      </c>
      <c r="Z580" t="s">
        <v>8450</v>
      </c>
      <c r="AA580" t="s">
        <v>8451</v>
      </c>
      <c r="AB580" t="s">
        <v>8452</v>
      </c>
      <c r="AC580" t="s">
        <v>74</v>
      </c>
      <c r="AD580" t="s">
        <v>74</v>
      </c>
      <c r="AE580" t="s">
        <v>74</v>
      </c>
      <c r="AF580" t="s">
        <v>74</v>
      </c>
      <c r="AG580">
        <v>97</v>
      </c>
      <c r="AH580">
        <v>117</v>
      </c>
      <c r="AI580">
        <v>132</v>
      </c>
      <c r="AJ580">
        <v>2</v>
      </c>
      <c r="AK580">
        <v>52</v>
      </c>
      <c r="AL580" t="s">
        <v>5554</v>
      </c>
      <c r="AM580" t="s">
        <v>5555</v>
      </c>
      <c r="AN580" t="s">
        <v>5556</v>
      </c>
      <c r="AO580" t="s">
        <v>8415</v>
      </c>
      <c r="AP580" t="s">
        <v>8429</v>
      </c>
      <c r="AQ580" t="s">
        <v>74</v>
      </c>
      <c r="AR580" t="s">
        <v>8416</v>
      </c>
      <c r="AS580" t="s">
        <v>8417</v>
      </c>
      <c r="AT580" t="s">
        <v>74</v>
      </c>
      <c r="AU580">
        <v>2004</v>
      </c>
      <c r="AV580">
        <v>55</v>
      </c>
      <c r="AW580">
        <v>4</v>
      </c>
      <c r="AX580" t="s">
        <v>74</v>
      </c>
      <c r="AY580" t="s">
        <v>74</v>
      </c>
      <c r="AZ580" t="s">
        <v>8430</v>
      </c>
      <c r="BA580" t="s">
        <v>74</v>
      </c>
      <c r="BB580">
        <v>367</v>
      </c>
      <c r="BC580">
        <v>377</v>
      </c>
      <c r="BD580" t="s">
        <v>74</v>
      </c>
      <c r="BE580" t="s">
        <v>8453</v>
      </c>
      <c r="BF580" t="str">
        <f>HYPERLINK("http://dx.doi.org/10.1071/MF03155","http://dx.doi.org/10.1071/MF03155")</f>
        <v>http://dx.doi.org/10.1071/MF03155</v>
      </c>
      <c r="BG580" t="s">
        <v>74</v>
      </c>
      <c r="BH580" t="s">
        <v>74</v>
      </c>
      <c r="BI580">
        <v>11</v>
      </c>
      <c r="BJ580" t="s">
        <v>8419</v>
      </c>
      <c r="BK580" t="s">
        <v>332</v>
      </c>
      <c r="BL580" t="s">
        <v>3016</v>
      </c>
      <c r="BM580" t="s">
        <v>8432</v>
      </c>
      <c r="BN580" t="s">
        <v>74</v>
      </c>
      <c r="BO580" t="s">
        <v>74</v>
      </c>
      <c r="BP580" t="s">
        <v>74</v>
      </c>
      <c r="BQ580" t="s">
        <v>74</v>
      </c>
      <c r="BR580" t="s">
        <v>99</v>
      </c>
      <c r="BS580" t="s">
        <v>8454</v>
      </c>
      <c r="BT580" t="str">
        <f>HYPERLINK("https%3A%2F%2Fwww.webofscience.com%2Fwos%2Fwoscc%2Ffull-record%2FWOS:000222236600005","View Full Record in Web of Science")</f>
        <v>View Full Record in Web of Science</v>
      </c>
    </row>
    <row r="581" spans="1:72" x14ac:dyDescent="0.15">
      <c r="A581" t="s">
        <v>72</v>
      </c>
      <c r="B581" t="s">
        <v>8455</v>
      </c>
      <c r="C581" t="s">
        <v>74</v>
      </c>
      <c r="D581" t="s">
        <v>74</v>
      </c>
      <c r="E581" t="s">
        <v>74</v>
      </c>
      <c r="F581" t="s">
        <v>8455</v>
      </c>
      <c r="G581" t="s">
        <v>74</v>
      </c>
      <c r="H581" t="s">
        <v>74</v>
      </c>
      <c r="I581" t="s">
        <v>8456</v>
      </c>
      <c r="J581" t="s">
        <v>8404</v>
      </c>
      <c r="K581" t="s">
        <v>74</v>
      </c>
      <c r="L581" t="s">
        <v>74</v>
      </c>
      <c r="M581" t="s">
        <v>77</v>
      </c>
      <c r="N581" t="s">
        <v>311</v>
      </c>
      <c r="O581" t="s">
        <v>8435</v>
      </c>
      <c r="P581">
        <v>2003</v>
      </c>
      <c r="Q581" t="s">
        <v>8436</v>
      </c>
      <c r="R581" t="s">
        <v>74</v>
      </c>
      <c r="S581" t="s">
        <v>74</v>
      </c>
      <c r="T581" t="s">
        <v>8457</v>
      </c>
      <c r="U581" t="s">
        <v>8458</v>
      </c>
      <c r="V581" t="s">
        <v>8459</v>
      </c>
      <c r="W581" t="s">
        <v>8460</v>
      </c>
      <c r="X581" t="s">
        <v>8461</v>
      </c>
      <c r="Y581" t="s">
        <v>8462</v>
      </c>
      <c r="Z581" t="s">
        <v>8463</v>
      </c>
      <c r="AA581" t="s">
        <v>8464</v>
      </c>
      <c r="AB581" t="s">
        <v>8465</v>
      </c>
      <c r="AC581" t="s">
        <v>74</v>
      </c>
      <c r="AD581" t="s">
        <v>74</v>
      </c>
      <c r="AE581" t="s">
        <v>74</v>
      </c>
      <c r="AF581" t="s">
        <v>74</v>
      </c>
      <c r="AG581">
        <v>37</v>
      </c>
      <c r="AH581">
        <v>44</v>
      </c>
      <c r="AI581">
        <v>44</v>
      </c>
      <c r="AJ581">
        <v>0</v>
      </c>
      <c r="AK581">
        <v>8</v>
      </c>
      <c r="AL581" t="s">
        <v>5554</v>
      </c>
      <c r="AM581" t="s">
        <v>5555</v>
      </c>
      <c r="AN581" t="s">
        <v>5556</v>
      </c>
      <c r="AO581" t="s">
        <v>8415</v>
      </c>
      <c r="AP581" t="s">
        <v>8429</v>
      </c>
      <c r="AQ581" t="s">
        <v>74</v>
      </c>
      <c r="AR581" t="s">
        <v>8416</v>
      </c>
      <c r="AS581" t="s">
        <v>8417</v>
      </c>
      <c r="AT581" t="s">
        <v>74</v>
      </c>
      <c r="AU581">
        <v>2004</v>
      </c>
      <c r="AV581">
        <v>55</v>
      </c>
      <c r="AW581">
        <v>4</v>
      </c>
      <c r="AX581" t="s">
        <v>74</v>
      </c>
      <c r="AY581" t="s">
        <v>74</v>
      </c>
      <c r="AZ581" t="s">
        <v>8430</v>
      </c>
      <c r="BA581" t="s">
        <v>74</v>
      </c>
      <c r="BB581">
        <v>387</v>
      </c>
      <c r="BC581">
        <v>394</v>
      </c>
      <c r="BD581" t="s">
        <v>74</v>
      </c>
      <c r="BE581" t="s">
        <v>8466</v>
      </c>
      <c r="BF581" t="str">
        <f>HYPERLINK("http://dx.doi.org/10.1071/MF03153","http://dx.doi.org/10.1071/MF03153")</f>
        <v>http://dx.doi.org/10.1071/MF03153</v>
      </c>
      <c r="BG581" t="s">
        <v>74</v>
      </c>
      <c r="BH581" t="s">
        <v>74</v>
      </c>
      <c r="BI581">
        <v>8</v>
      </c>
      <c r="BJ581" t="s">
        <v>8419</v>
      </c>
      <c r="BK581" t="s">
        <v>332</v>
      </c>
      <c r="BL581" t="s">
        <v>3016</v>
      </c>
      <c r="BM581" t="s">
        <v>8432</v>
      </c>
      <c r="BN581" t="s">
        <v>74</v>
      </c>
      <c r="BO581" t="s">
        <v>74</v>
      </c>
      <c r="BP581" t="s">
        <v>74</v>
      </c>
      <c r="BQ581" t="s">
        <v>74</v>
      </c>
      <c r="BR581" t="s">
        <v>99</v>
      </c>
      <c r="BS581" t="s">
        <v>8467</v>
      </c>
      <c r="BT581" t="str">
        <f>HYPERLINK("https%3A%2F%2Fwww.webofscience.com%2Fwos%2Fwoscc%2Ffull-record%2FWOS:000222236600007","View Full Record in Web of Science")</f>
        <v>View Full Record in Web of Science</v>
      </c>
    </row>
    <row r="582" spans="1:72" x14ac:dyDescent="0.15">
      <c r="A582" t="s">
        <v>72</v>
      </c>
      <c r="B582" t="s">
        <v>8468</v>
      </c>
      <c r="C582" t="s">
        <v>74</v>
      </c>
      <c r="D582" t="s">
        <v>74</v>
      </c>
      <c r="E582" t="s">
        <v>74</v>
      </c>
      <c r="F582" t="s">
        <v>8468</v>
      </c>
      <c r="G582" t="s">
        <v>74</v>
      </c>
      <c r="H582" t="s">
        <v>74</v>
      </c>
      <c r="I582" t="s">
        <v>8469</v>
      </c>
      <c r="J582" t="s">
        <v>8404</v>
      </c>
      <c r="K582" t="s">
        <v>74</v>
      </c>
      <c r="L582" t="s">
        <v>74</v>
      </c>
      <c r="M582" t="s">
        <v>77</v>
      </c>
      <c r="N582" t="s">
        <v>311</v>
      </c>
      <c r="O582" t="s">
        <v>8435</v>
      </c>
      <c r="P582">
        <v>2003</v>
      </c>
      <c r="Q582" t="s">
        <v>8436</v>
      </c>
      <c r="R582" t="s">
        <v>74</v>
      </c>
      <c r="S582" t="s">
        <v>74</v>
      </c>
      <c r="T582" t="s">
        <v>8470</v>
      </c>
      <c r="U582" t="s">
        <v>8471</v>
      </c>
      <c r="V582" t="s">
        <v>8472</v>
      </c>
      <c r="W582" t="s">
        <v>8473</v>
      </c>
      <c r="X582" t="s">
        <v>8474</v>
      </c>
      <c r="Y582" t="s">
        <v>8475</v>
      </c>
      <c r="Z582" t="s">
        <v>8476</v>
      </c>
      <c r="AA582" t="s">
        <v>8428</v>
      </c>
      <c r="AB582" t="s">
        <v>74</v>
      </c>
      <c r="AC582" t="s">
        <v>74</v>
      </c>
      <c r="AD582" t="s">
        <v>74</v>
      </c>
      <c r="AE582" t="s">
        <v>74</v>
      </c>
      <c r="AF582" t="s">
        <v>74</v>
      </c>
      <c r="AG582">
        <v>30</v>
      </c>
      <c r="AH582">
        <v>21</v>
      </c>
      <c r="AI582">
        <v>24</v>
      </c>
      <c r="AJ582">
        <v>2</v>
      </c>
      <c r="AK582">
        <v>15</v>
      </c>
      <c r="AL582" t="s">
        <v>5554</v>
      </c>
      <c r="AM582" t="s">
        <v>5555</v>
      </c>
      <c r="AN582" t="s">
        <v>5556</v>
      </c>
      <c r="AO582" t="s">
        <v>8415</v>
      </c>
      <c r="AP582" t="s">
        <v>8429</v>
      </c>
      <c r="AQ582" t="s">
        <v>74</v>
      </c>
      <c r="AR582" t="s">
        <v>8416</v>
      </c>
      <c r="AS582" t="s">
        <v>8417</v>
      </c>
      <c r="AT582" t="s">
        <v>74</v>
      </c>
      <c r="AU582">
        <v>2004</v>
      </c>
      <c r="AV582">
        <v>55</v>
      </c>
      <c r="AW582">
        <v>4</v>
      </c>
      <c r="AX582" t="s">
        <v>74</v>
      </c>
      <c r="AY582" t="s">
        <v>74</v>
      </c>
      <c r="AZ582" t="s">
        <v>8430</v>
      </c>
      <c r="BA582" t="s">
        <v>74</v>
      </c>
      <c r="BB582">
        <v>395</v>
      </c>
      <c r="BC582">
        <v>401</v>
      </c>
      <c r="BD582" t="s">
        <v>74</v>
      </c>
      <c r="BE582" t="s">
        <v>8477</v>
      </c>
      <c r="BF582" t="str">
        <f>HYPERLINK("http://dx.doi.org/10.1071/MF03154","http://dx.doi.org/10.1071/MF03154")</f>
        <v>http://dx.doi.org/10.1071/MF03154</v>
      </c>
      <c r="BG582" t="s">
        <v>74</v>
      </c>
      <c r="BH582" t="s">
        <v>74</v>
      </c>
      <c r="BI582">
        <v>7</v>
      </c>
      <c r="BJ582" t="s">
        <v>8419</v>
      </c>
      <c r="BK582" t="s">
        <v>332</v>
      </c>
      <c r="BL582" t="s">
        <v>3016</v>
      </c>
      <c r="BM582" t="s">
        <v>8432</v>
      </c>
      <c r="BN582" t="s">
        <v>74</v>
      </c>
      <c r="BO582" t="s">
        <v>74</v>
      </c>
      <c r="BP582" t="s">
        <v>74</v>
      </c>
      <c r="BQ582" t="s">
        <v>74</v>
      </c>
      <c r="BR582" t="s">
        <v>99</v>
      </c>
      <c r="BS582" t="s">
        <v>8478</v>
      </c>
      <c r="BT582" t="str">
        <f>HYPERLINK("https%3A%2F%2Fwww.webofscience.com%2Fwos%2Fwoscc%2Ffull-record%2FWOS:000222236600008","View Full Record in Web of Science")</f>
        <v>View Full Record in Web of Science</v>
      </c>
    </row>
    <row r="583" spans="1:72" x14ac:dyDescent="0.15">
      <c r="A583" t="s">
        <v>72</v>
      </c>
      <c r="B583" t="s">
        <v>8479</v>
      </c>
      <c r="C583" t="s">
        <v>74</v>
      </c>
      <c r="D583" t="s">
        <v>74</v>
      </c>
      <c r="E583" t="s">
        <v>74</v>
      </c>
      <c r="F583" t="s">
        <v>8479</v>
      </c>
      <c r="G583" t="s">
        <v>74</v>
      </c>
      <c r="H583" t="s">
        <v>74</v>
      </c>
      <c r="I583" t="s">
        <v>8480</v>
      </c>
      <c r="J583" t="s">
        <v>1756</v>
      </c>
      <c r="K583" t="s">
        <v>74</v>
      </c>
      <c r="L583" t="s">
        <v>74</v>
      </c>
      <c r="M583" t="s">
        <v>77</v>
      </c>
      <c r="N583" t="s">
        <v>78</v>
      </c>
      <c r="O583" t="s">
        <v>74</v>
      </c>
      <c r="P583" t="s">
        <v>74</v>
      </c>
      <c r="Q583" t="s">
        <v>74</v>
      </c>
      <c r="R583" t="s">
        <v>74</v>
      </c>
      <c r="S583" t="s">
        <v>74</v>
      </c>
      <c r="T583" t="s">
        <v>74</v>
      </c>
      <c r="U583" t="s">
        <v>8481</v>
      </c>
      <c r="V583" t="s">
        <v>8482</v>
      </c>
      <c r="W583" t="s">
        <v>8483</v>
      </c>
      <c r="X583" t="s">
        <v>8484</v>
      </c>
      <c r="Y583" t="s">
        <v>8485</v>
      </c>
      <c r="Z583" t="s">
        <v>74</v>
      </c>
      <c r="AA583" t="s">
        <v>74</v>
      </c>
      <c r="AB583" t="s">
        <v>74</v>
      </c>
      <c r="AC583" t="s">
        <v>74</v>
      </c>
      <c r="AD583" t="s">
        <v>74</v>
      </c>
      <c r="AE583" t="s">
        <v>74</v>
      </c>
      <c r="AF583" t="s">
        <v>74</v>
      </c>
      <c r="AG583">
        <v>44</v>
      </c>
      <c r="AH583">
        <v>10</v>
      </c>
      <c r="AI583">
        <v>14</v>
      </c>
      <c r="AJ583">
        <v>0</v>
      </c>
      <c r="AK583">
        <v>5</v>
      </c>
      <c r="AL583" t="s">
        <v>123</v>
      </c>
      <c r="AM583" t="s">
        <v>87</v>
      </c>
      <c r="AN583" t="s">
        <v>124</v>
      </c>
      <c r="AO583" t="s">
        <v>1765</v>
      </c>
      <c r="AP583" t="s">
        <v>74</v>
      </c>
      <c r="AQ583" t="s">
        <v>74</v>
      </c>
      <c r="AR583" t="s">
        <v>1767</v>
      </c>
      <c r="AS583" t="s">
        <v>1768</v>
      </c>
      <c r="AT583" t="s">
        <v>4117</v>
      </c>
      <c r="AU583">
        <v>2004</v>
      </c>
      <c r="AV583">
        <v>144</v>
      </c>
      <c r="AW583">
        <v>1</v>
      </c>
      <c r="AX583" t="s">
        <v>74</v>
      </c>
      <c r="AY583" t="s">
        <v>74</v>
      </c>
      <c r="AZ583" t="s">
        <v>74</v>
      </c>
      <c r="BA583" t="s">
        <v>74</v>
      </c>
      <c r="BB583">
        <v>101</v>
      </c>
      <c r="BC583">
        <v>110</v>
      </c>
      <c r="BD583" t="s">
        <v>74</v>
      </c>
      <c r="BE583" t="s">
        <v>8486</v>
      </c>
      <c r="BF583" t="str">
        <f>HYPERLINK("http://dx.doi.org/10.1007/s00227-003-1180-y","http://dx.doi.org/10.1007/s00227-003-1180-y")</f>
        <v>http://dx.doi.org/10.1007/s00227-003-1180-y</v>
      </c>
      <c r="BG583" t="s">
        <v>74</v>
      </c>
      <c r="BH583" t="s">
        <v>74</v>
      </c>
      <c r="BI583">
        <v>10</v>
      </c>
      <c r="BJ583" t="s">
        <v>1770</v>
      </c>
      <c r="BK583" t="s">
        <v>96</v>
      </c>
      <c r="BL583" t="s">
        <v>1770</v>
      </c>
      <c r="BM583" t="s">
        <v>8487</v>
      </c>
      <c r="BN583" t="s">
        <v>74</v>
      </c>
      <c r="BO583" t="s">
        <v>74</v>
      </c>
      <c r="BP583" t="s">
        <v>74</v>
      </c>
      <c r="BQ583" t="s">
        <v>74</v>
      </c>
      <c r="BR583" t="s">
        <v>99</v>
      </c>
      <c r="BS583" t="s">
        <v>8488</v>
      </c>
      <c r="BT583" t="str">
        <f>HYPERLINK("https%3A%2F%2Fwww.webofscience.com%2Fwos%2Fwoscc%2Ffull-record%2FWOS:000187504900012","View Full Record in Web of Science")</f>
        <v>View Full Record in Web of Science</v>
      </c>
    </row>
    <row r="584" spans="1:72" x14ac:dyDescent="0.15">
      <c r="A584" t="s">
        <v>72</v>
      </c>
      <c r="B584" t="s">
        <v>8489</v>
      </c>
      <c r="C584" t="s">
        <v>74</v>
      </c>
      <c r="D584" t="s">
        <v>74</v>
      </c>
      <c r="E584" t="s">
        <v>74</v>
      </c>
      <c r="F584" t="s">
        <v>8489</v>
      </c>
      <c r="G584" t="s">
        <v>74</v>
      </c>
      <c r="H584" t="s">
        <v>74</v>
      </c>
      <c r="I584" t="s">
        <v>8490</v>
      </c>
      <c r="J584" t="s">
        <v>8491</v>
      </c>
      <c r="K584" t="s">
        <v>74</v>
      </c>
      <c r="L584" t="s">
        <v>74</v>
      </c>
      <c r="M584" t="s">
        <v>77</v>
      </c>
      <c r="N584" t="s">
        <v>78</v>
      </c>
      <c r="O584" t="s">
        <v>74</v>
      </c>
      <c r="P584" t="s">
        <v>74</v>
      </c>
      <c r="Q584" t="s">
        <v>74</v>
      </c>
      <c r="R584" t="s">
        <v>74</v>
      </c>
      <c r="S584" t="s">
        <v>74</v>
      </c>
      <c r="T584" t="s">
        <v>8492</v>
      </c>
      <c r="U584" t="s">
        <v>8493</v>
      </c>
      <c r="V584" t="s">
        <v>8494</v>
      </c>
      <c r="W584" t="s">
        <v>8495</v>
      </c>
      <c r="X584" t="s">
        <v>8496</v>
      </c>
      <c r="Y584" t="s">
        <v>8497</v>
      </c>
      <c r="Z584" t="s">
        <v>74</v>
      </c>
      <c r="AA584" t="s">
        <v>8498</v>
      </c>
      <c r="AB584" t="s">
        <v>8499</v>
      </c>
      <c r="AC584" t="s">
        <v>74</v>
      </c>
      <c r="AD584" t="s">
        <v>74</v>
      </c>
      <c r="AE584" t="s">
        <v>74</v>
      </c>
      <c r="AF584" t="s">
        <v>74</v>
      </c>
      <c r="AG584">
        <v>61</v>
      </c>
      <c r="AH584">
        <v>59</v>
      </c>
      <c r="AI584">
        <v>66</v>
      </c>
      <c r="AJ584">
        <v>1</v>
      </c>
      <c r="AK584">
        <v>17</v>
      </c>
      <c r="AL584" t="s">
        <v>528</v>
      </c>
      <c r="AM584" t="s">
        <v>529</v>
      </c>
      <c r="AN584" t="s">
        <v>530</v>
      </c>
      <c r="AO584" t="s">
        <v>8500</v>
      </c>
      <c r="AP584" t="s">
        <v>74</v>
      </c>
      <c r="AQ584" t="s">
        <v>74</v>
      </c>
      <c r="AR584" t="s">
        <v>8501</v>
      </c>
      <c r="AS584" t="s">
        <v>8502</v>
      </c>
      <c r="AT584" t="s">
        <v>4117</v>
      </c>
      <c r="AU584">
        <v>2004</v>
      </c>
      <c r="AV584">
        <v>84</v>
      </c>
      <c r="AW584" t="s">
        <v>710</v>
      </c>
      <c r="AX584" t="s">
        <v>74</v>
      </c>
      <c r="AY584" t="s">
        <v>74</v>
      </c>
      <c r="AZ584" t="s">
        <v>74</v>
      </c>
      <c r="BA584" t="s">
        <v>74</v>
      </c>
      <c r="BB584">
        <v>161</v>
      </c>
      <c r="BC584">
        <v>179</v>
      </c>
      <c r="BD584" t="s">
        <v>74</v>
      </c>
      <c r="BE584" t="s">
        <v>8503</v>
      </c>
      <c r="BF584" t="str">
        <f>HYPERLINK("http://dx.doi.org/10.1016/j.marchem.2003.07.004","http://dx.doi.org/10.1016/j.marchem.2003.07.004")</f>
        <v>http://dx.doi.org/10.1016/j.marchem.2003.07.004</v>
      </c>
      <c r="BG584" t="s">
        <v>74</v>
      </c>
      <c r="BH584" t="s">
        <v>74</v>
      </c>
      <c r="BI584">
        <v>19</v>
      </c>
      <c r="BJ584" t="s">
        <v>8504</v>
      </c>
      <c r="BK584" t="s">
        <v>96</v>
      </c>
      <c r="BL584" t="s">
        <v>8505</v>
      </c>
      <c r="BM584" t="s">
        <v>8506</v>
      </c>
      <c r="BN584" t="s">
        <v>74</v>
      </c>
      <c r="BO584" t="s">
        <v>74</v>
      </c>
      <c r="BP584" t="s">
        <v>74</v>
      </c>
      <c r="BQ584" t="s">
        <v>74</v>
      </c>
      <c r="BR584" t="s">
        <v>99</v>
      </c>
      <c r="BS584" t="s">
        <v>8507</v>
      </c>
      <c r="BT584" t="str">
        <f>HYPERLINK("https%3A%2F%2Fwww.webofscience.com%2Fwos%2Fwoscc%2Ffull-record%2FWOS:000187751200002","View Full Record in Web of Science")</f>
        <v>View Full Record in Web of Science</v>
      </c>
    </row>
    <row r="585" spans="1:72" x14ac:dyDescent="0.15">
      <c r="A585" t="s">
        <v>72</v>
      </c>
      <c r="B585" t="s">
        <v>8508</v>
      </c>
      <c r="C585" t="s">
        <v>74</v>
      </c>
      <c r="D585" t="s">
        <v>74</v>
      </c>
      <c r="E585" t="s">
        <v>74</v>
      </c>
      <c r="F585" t="s">
        <v>8508</v>
      </c>
      <c r="G585" t="s">
        <v>74</v>
      </c>
      <c r="H585" t="s">
        <v>74</v>
      </c>
      <c r="I585" t="s">
        <v>8509</v>
      </c>
      <c r="J585" t="s">
        <v>8510</v>
      </c>
      <c r="K585" t="s">
        <v>74</v>
      </c>
      <c r="L585" t="s">
        <v>74</v>
      </c>
      <c r="M585" t="s">
        <v>77</v>
      </c>
      <c r="N585" t="s">
        <v>78</v>
      </c>
      <c r="O585" t="s">
        <v>74</v>
      </c>
      <c r="P585" t="s">
        <v>74</v>
      </c>
      <c r="Q585" t="s">
        <v>74</v>
      </c>
      <c r="R585" t="s">
        <v>74</v>
      </c>
      <c r="S585" t="s">
        <v>74</v>
      </c>
      <c r="T585" t="s">
        <v>8511</v>
      </c>
      <c r="U585" t="s">
        <v>8512</v>
      </c>
      <c r="V585" t="s">
        <v>8513</v>
      </c>
      <c r="W585" t="s">
        <v>81</v>
      </c>
      <c r="X585" t="s">
        <v>82</v>
      </c>
      <c r="Y585" t="s">
        <v>83</v>
      </c>
      <c r="Z585" t="s">
        <v>8514</v>
      </c>
      <c r="AA585" t="s">
        <v>8515</v>
      </c>
      <c r="AB585" t="s">
        <v>8516</v>
      </c>
      <c r="AC585" t="s">
        <v>74</v>
      </c>
      <c r="AD585" t="s">
        <v>74</v>
      </c>
      <c r="AE585" t="s">
        <v>74</v>
      </c>
      <c r="AF585" t="s">
        <v>74</v>
      </c>
      <c r="AG585">
        <v>42</v>
      </c>
      <c r="AH585">
        <v>33</v>
      </c>
      <c r="AI585">
        <v>36</v>
      </c>
      <c r="AJ585">
        <v>1</v>
      </c>
      <c r="AK585">
        <v>48</v>
      </c>
      <c r="AL585" t="s">
        <v>3622</v>
      </c>
      <c r="AM585" t="s">
        <v>3623</v>
      </c>
      <c r="AN585" t="s">
        <v>3624</v>
      </c>
      <c r="AO585" t="s">
        <v>8517</v>
      </c>
      <c r="AP585" t="s">
        <v>8518</v>
      </c>
      <c r="AQ585" t="s">
        <v>74</v>
      </c>
      <c r="AR585" t="s">
        <v>8519</v>
      </c>
      <c r="AS585" t="s">
        <v>8520</v>
      </c>
      <c r="AT585" t="s">
        <v>74</v>
      </c>
      <c r="AU585">
        <v>2004</v>
      </c>
      <c r="AV585">
        <v>284</v>
      </c>
      <c r="AW585" t="s">
        <v>74</v>
      </c>
      <c r="AX585" t="s">
        <v>74</v>
      </c>
      <c r="AY585" t="s">
        <v>74</v>
      </c>
      <c r="AZ585" t="s">
        <v>74</v>
      </c>
      <c r="BA585" t="s">
        <v>74</v>
      </c>
      <c r="BB585">
        <v>305</v>
      </c>
      <c r="BC585">
        <v>310</v>
      </c>
      <c r="BD585" t="s">
        <v>74</v>
      </c>
      <c r="BE585" t="s">
        <v>8521</v>
      </c>
      <c r="BF585" t="str">
        <f>HYPERLINK("http://dx.doi.org/10.3354/meps284305","http://dx.doi.org/10.3354/meps284305")</f>
        <v>http://dx.doi.org/10.3354/meps284305</v>
      </c>
      <c r="BG585" t="s">
        <v>74</v>
      </c>
      <c r="BH585" t="s">
        <v>74</v>
      </c>
      <c r="BI585">
        <v>6</v>
      </c>
      <c r="BJ585" t="s">
        <v>8522</v>
      </c>
      <c r="BK585" t="s">
        <v>96</v>
      </c>
      <c r="BL585" t="s">
        <v>8523</v>
      </c>
      <c r="BM585" t="s">
        <v>8524</v>
      </c>
      <c r="BN585" t="s">
        <v>74</v>
      </c>
      <c r="BO585" t="s">
        <v>541</v>
      </c>
      <c r="BP585" t="s">
        <v>74</v>
      </c>
      <c r="BQ585" t="s">
        <v>74</v>
      </c>
      <c r="BR585" t="s">
        <v>99</v>
      </c>
      <c r="BS585" t="s">
        <v>8525</v>
      </c>
      <c r="BT585" t="str">
        <f>HYPERLINK("https%3A%2F%2Fwww.webofscience.com%2Fwos%2Fwoscc%2Ffull-record%2FWOS:000226518000025","View Full Record in Web of Science")</f>
        <v>View Full Record in Web of Science</v>
      </c>
    </row>
    <row r="586" spans="1:72" x14ac:dyDescent="0.15">
      <c r="A586" t="s">
        <v>72</v>
      </c>
      <c r="B586" t="s">
        <v>8526</v>
      </c>
      <c r="C586" t="s">
        <v>74</v>
      </c>
      <c r="D586" t="s">
        <v>74</v>
      </c>
      <c r="E586" t="s">
        <v>74</v>
      </c>
      <c r="F586" t="s">
        <v>8526</v>
      </c>
      <c r="G586" t="s">
        <v>74</v>
      </c>
      <c r="H586" t="s">
        <v>74</v>
      </c>
      <c r="I586" t="s">
        <v>8527</v>
      </c>
      <c r="J586" t="s">
        <v>8510</v>
      </c>
      <c r="K586" t="s">
        <v>74</v>
      </c>
      <c r="L586" t="s">
        <v>74</v>
      </c>
      <c r="M586" t="s">
        <v>77</v>
      </c>
      <c r="N586" t="s">
        <v>78</v>
      </c>
      <c r="O586" t="s">
        <v>74</v>
      </c>
      <c r="P586" t="s">
        <v>74</v>
      </c>
      <c r="Q586" t="s">
        <v>74</v>
      </c>
      <c r="R586" t="s">
        <v>74</v>
      </c>
      <c r="S586" t="s">
        <v>74</v>
      </c>
      <c r="T586" t="s">
        <v>8528</v>
      </c>
      <c r="U586" t="s">
        <v>8529</v>
      </c>
      <c r="V586" t="s">
        <v>8530</v>
      </c>
      <c r="W586" t="s">
        <v>8531</v>
      </c>
      <c r="X586" t="s">
        <v>8532</v>
      </c>
      <c r="Y586" t="s">
        <v>8533</v>
      </c>
      <c r="Z586" t="s">
        <v>8534</v>
      </c>
      <c r="AA586" t="s">
        <v>74</v>
      </c>
      <c r="AB586" t="s">
        <v>74</v>
      </c>
      <c r="AC586" t="s">
        <v>74</v>
      </c>
      <c r="AD586" t="s">
        <v>74</v>
      </c>
      <c r="AE586" t="s">
        <v>74</v>
      </c>
      <c r="AF586" t="s">
        <v>74</v>
      </c>
      <c r="AG586">
        <v>33</v>
      </c>
      <c r="AH586">
        <v>42</v>
      </c>
      <c r="AI586">
        <v>46</v>
      </c>
      <c r="AJ586">
        <v>0</v>
      </c>
      <c r="AK586">
        <v>17</v>
      </c>
      <c r="AL586" t="s">
        <v>3622</v>
      </c>
      <c r="AM586" t="s">
        <v>3623</v>
      </c>
      <c r="AN586" t="s">
        <v>3624</v>
      </c>
      <c r="AO586" t="s">
        <v>8517</v>
      </c>
      <c r="AP586" t="s">
        <v>74</v>
      </c>
      <c r="AQ586" t="s">
        <v>74</v>
      </c>
      <c r="AR586" t="s">
        <v>8519</v>
      </c>
      <c r="AS586" t="s">
        <v>8520</v>
      </c>
      <c r="AT586" t="s">
        <v>74</v>
      </c>
      <c r="AU586">
        <v>2004</v>
      </c>
      <c r="AV586">
        <v>283</v>
      </c>
      <c r="AW586" t="s">
        <v>74</v>
      </c>
      <c r="AX586" t="s">
        <v>74</v>
      </c>
      <c r="AY586" t="s">
        <v>74</v>
      </c>
      <c r="AZ586" t="s">
        <v>74</v>
      </c>
      <c r="BA586" t="s">
        <v>74</v>
      </c>
      <c r="BB586">
        <v>293</v>
      </c>
      <c r="BC586">
        <v>297</v>
      </c>
      <c r="BD586" t="s">
        <v>74</v>
      </c>
      <c r="BE586" t="s">
        <v>8535</v>
      </c>
      <c r="BF586" t="str">
        <f>HYPERLINK("http://dx.doi.org/10.3354/meps283293","http://dx.doi.org/10.3354/meps283293")</f>
        <v>http://dx.doi.org/10.3354/meps283293</v>
      </c>
      <c r="BG586" t="s">
        <v>74</v>
      </c>
      <c r="BH586" t="s">
        <v>74</v>
      </c>
      <c r="BI586">
        <v>5</v>
      </c>
      <c r="BJ586" t="s">
        <v>8522</v>
      </c>
      <c r="BK586" t="s">
        <v>96</v>
      </c>
      <c r="BL586" t="s">
        <v>8523</v>
      </c>
      <c r="BM586" t="s">
        <v>8536</v>
      </c>
      <c r="BN586" t="s">
        <v>74</v>
      </c>
      <c r="BO586" t="s">
        <v>541</v>
      </c>
      <c r="BP586" t="s">
        <v>74</v>
      </c>
      <c r="BQ586" t="s">
        <v>74</v>
      </c>
      <c r="BR586" t="s">
        <v>99</v>
      </c>
      <c r="BS586" t="s">
        <v>8537</v>
      </c>
      <c r="BT586" t="str">
        <f>HYPERLINK("https%3A%2F%2Fwww.webofscience.com%2Fwos%2Fwoscc%2Ffull-record%2FWOS:000226200600022","View Full Record in Web of Science")</f>
        <v>View Full Record in Web of Science</v>
      </c>
    </row>
    <row r="587" spans="1:72" x14ac:dyDescent="0.15">
      <c r="A587" t="s">
        <v>72</v>
      </c>
      <c r="B587" t="s">
        <v>8538</v>
      </c>
      <c r="C587" t="s">
        <v>74</v>
      </c>
      <c r="D587" t="s">
        <v>74</v>
      </c>
      <c r="E587" t="s">
        <v>74</v>
      </c>
      <c r="F587" t="s">
        <v>8538</v>
      </c>
      <c r="G587" t="s">
        <v>74</v>
      </c>
      <c r="H587" t="s">
        <v>74</v>
      </c>
      <c r="I587" t="s">
        <v>8539</v>
      </c>
      <c r="J587" t="s">
        <v>8510</v>
      </c>
      <c r="K587" t="s">
        <v>74</v>
      </c>
      <c r="L587" t="s">
        <v>74</v>
      </c>
      <c r="M587" t="s">
        <v>77</v>
      </c>
      <c r="N587" t="s">
        <v>78</v>
      </c>
      <c r="O587" t="s">
        <v>74</v>
      </c>
      <c r="P587" t="s">
        <v>74</v>
      </c>
      <c r="Q587" t="s">
        <v>74</v>
      </c>
      <c r="R587" t="s">
        <v>74</v>
      </c>
      <c r="S587" t="s">
        <v>74</v>
      </c>
      <c r="T587" t="s">
        <v>8540</v>
      </c>
      <c r="U587" t="s">
        <v>8541</v>
      </c>
      <c r="V587" t="s">
        <v>8542</v>
      </c>
      <c r="W587" t="s">
        <v>8543</v>
      </c>
      <c r="X587" t="s">
        <v>8544</v>
      </c>
      <c r="Y587" t="s">
        <v>8545</v>
      </c>
      <c r="Z587" t="s">
        <v>8546</v>
      </c>
      <c r="AA587" t="s">
        <v>8547</v>
      </c>
      <c r="AB587" t="s">
        <v>8548</v>
      </c>
      <c r="AC587" t="s">
        <v>74</v>
      </c>
      <c r="AD587" t="s">
        <v>74</v>
      </c>
      <c r="AE587" t="s">
        <v>74</v>
      </c>
      <c r="AF587" t="s">
        <v>74</v>
      </c>
      <c r="AG587">
        <v>57</v>
      </c>
      <c r="AH587">
        <v>64</v>
      </c>
      <c r="AI587">
        <v>69</v>
      </c>
      <c r="AJ587">
        <v>0</v>
      </c>
      <c r="AK587">
        <v>14</v>
      </c>
      <c r="AL587" t="s">
        <v>3622</v>
      </c>
      <c r="AM587" t="s">
        <v>3623</v>
      </c>
      <c r="AN587" t="s">
        <v>3624</v>
      </c>
      <c r="AO587" t="s">
        <v>8517</v>
      </c>
      <c r="AP587" t="s">
        <v>8518</v>
      </c>
      <c r="AQ587" t="s">
        <v>74</v>
      </c>
      <c r="AR587" t="s">
        <v>8519</v>
      </c>
      <c r="AS587" t="s">
        <v>8520</v>
      </c>
      <c r="AT587" t="s">
        <v>74</v>
      </c>
      <c r="AU587">
        <v>2004</v>
      </c>
      <c r="AV587">
        <v>281</v>
      </c>
      <c r="AW587" t="s">
        <v>74</v>
      </c>
      <c r="AX587" t="s">
        <v>74</v>
      </c>
      <c r="AY587" t="s">
        <v>74</v>
      </c>
      <c r="AZ587" t="s">
        <v>74</v>
      </c>
      <c r="BA587" t="s">
        <v>74</v>
      </c>
      <c r="BB587">
        <v>109</v>
      </c>
      <c r="BC587">
        <v>120</v>
      </c>
      <c r="BD587" t="s">
        <v>74</v>
      </c>
      <c r="BE587" t="s">
        <v>8549</v>
      </c>
      <c r="BF587" t="str">
        <f>HYPERLINK("http://dx.doi.org/10.3354/meps281109","http://dx.doi.org/10.3354/meps281109")</f>
        <v>http://dx.doi.org/10.3354/meps281109</v>
      </c>
      <c r="BG587" t="s">
        <v>74</v>
      </c>
      <c r="BH587" t="s">
        <v>74</v>
      </c>
      <c r="BI587">
        <v>12</v>
      </c>
      <c r="BJ587" t="s">
        <v>8522</v>
      </c>
      <c r="BK587" t="s">
        <v>96</v>
      </c>
      <c r="BL587" t="s">
        <v>8523</v>
      </c>
      <c r="BM587" t="s">
        <v>8550</v>
      </c>
      <c r="BN587" t="s">
        <v>74</v>
      </c>
      <c r="BO587" t="s">
        <v>2558</v>
      </c>
      <c r="BP587" t="s">
        <v>74</v>
      </c>
      <c r="BQ587" t="s">
        <v>74</v>
      </c>
      <c r="BR587" t="s">
        <v>99</v>
      </c>
      <c r="BS587" t="s">
        <v>8551</v>
      </c>
      <c r="BT587" t="str">
        <f>HYPERLINK("https%3A%2F%2Fwww.webofscience.com%2Fwos%2Fwoscc%2Ffull-record%2FWOS:000225543400009","View Full Record in Web of Science")</f>
        <v>View Full Record in Web of Science</v>
      </c>
    </row>
    <row r="588" spans="1:72" x14ac:dyDescent="0.15">
      <c r="A588" t="s">
        <v>72</v>
      </c>
      <c r="B588" t="s">
        <v>8552</v>
      </c>
      <c r="C588" t="s">
        <v>74</v>
      </c>
      <c r="D588" t="s">
        <v>74</v>
      </c>
      <c r="E588" t="s">
        <v>74</v>
      </c>
      <c r="F588" t="s">
        <v>8552</v>
      </c>
      <c r="G588" t="s">
        <v>74</v>
      </c>
      <c r="H588" t="s">
        <v>74</v>
      </c>
      <c r="I588" t="s">
        <v>8553</v>
      </c>
      <c r="J588" t="s">
        <v>8510</v>
      </c>
      <c r="K588" t="s">
        <v>74</v>
      </c>
      <c r="L588" t="s">
        <v>74</v>
      </c>
      <c r="M588" t="s">
        <v>77</v>
      </c>
      <c r="N588" t="s">
        <v>78</v>
      </c>
      <c r="O588" t="s">
        <v>74</v>
      </c>
      <c r="P588" t="s">
        <v>74</v>
      </c>
      <c r="Q588" t="s">
        <v>74</v>
      </c>
      <c r="R588" t="s">
        <v>74</v>
      </c>
      <c r="S588" t="s">
        <v>74</v>
      </c>
      <c r="T588" t="s">
        <v>8554</v>
      </c>
      <c r="U588" t="s">
        <v>8555</v>
      </c>
      <c r="V588" t="s">
        <v>8556</v>
      </c>
      <c r="W588" t="s">
        <v>8557</v>
      </c>
      <c r="X588" t="s">
        <v>82</v>
      </c>
      <c r="Y588" t="s">
        <v>8558</v>
      </c>
      <c r="Z588" t="s">
        <v>8559</v>
      </c>
      <c r="AA588" t="s">
        <v>8560</v>
      </c>
      <c r="AB588" t="s">
        <v>74</v>
      </c>
      <c r="AC588" t="s">
        <v>74</v>
      </c>
      <c r="AD588" t="s">
        <v>74</v>
      </c>
      <c r="AE588" t="s">
        <v>74</v>
      </c>
      <c r="AF588" t="s">
        <v>74</v>
      </c>
      <c r="AG588">
        <v>56</v>
      </c>
      <c r="AH588">
        <v>11</v>
      </c>
      <c r="AI588">
        <v>12</v>
      </c>
      <c r="AJ588">
        <v>0</v>
      </c>
      <c r="AK588">
        <v>7</v>
      </c>
      <c r="AL588" t="s">
        <v>3622</v>
      </c>
      <c r="AM588" t="s">
        <v>3623</v>
      </c>
      <c r="AN588" t="s">
        <v>3624</v>
      </c>
      <c r="AO588" t="s">
        <v>8517</v>
      </c>
      <c r="AP588" t="s">
        <v>8518</v>
      </c>
      <c r="AQ588" t="s">
        <v>74</v>
      </c>
      <c r="AR588" t="s">
        <v>8519</v>
      </c>
      <c r="AS588" t="s">
        <v>8520</v>
      </c>
      <c r="AT588" t="s">
        <v>74</v>
      </c>
      <c r="AU588">
        <v>2004</v>
      </c>
      <c r="AV588">
        <v>281</v>
      </c>
      <c r="AW588" t="s">
        <v>74</v>
      </c>
      <c r="AX588" t="s">
        <v>74</v>
      </c>
      <c r="AY588" t="s">
        <v>74</v>
      </c>
      <c r="AZ588" t="s">
        <v>74</v>
      </c>
      <c r="BA588" t="s">
        <v>74</v>
      </c>
      <c r="BB588">
        <v>131</v>
      </c>
      <c r="BC588">
        <v>143</v>
      </c>
      <c r="BD588" t="s">
        <v>74</v>
      </c>
      <c r="BE588" t="s">
        <v>8561</v>
      </c>
      <c r="BF588" t="str">
        <f>HYPERLINK("http://dx.doi.org/10.3354/meps281131","http://dx.doi.org/10.3354/meps281131")</f>
        <v>http://dx.doi.org/10.3354/meps281131</v>
      </c>
      <c r="BG588" t="s">
        <v>74</v>
      </c>
      <c r="BH588" t="s">
        <v>74</v>
      </c>
      <c r="BI588">
        <v>13</v>
      </c>
      <c r="BJ588" t="s">
        <v>8522</v>
      </c>
      <c r="BK588" t="s">
        <v>96</v>
      </c>
      <c r="BL588" t="s">
        <v>8523</v>
      </c>
      <c r="BM588" t="s">
        <v>8550</v>
      </c>
      <c r="BN588" t="s">
        <v>74</v>
      </c>
      <c r="BO588" t="s">
        <v>541</v>
      </c>
      <c r="BP588" t="s">
        <v>74</v>
      </c>
      <c r="BQ588" t="s">
        <v>74</v>
      </c>
      <c r="BR588" t="s">
        <v>99</v>
      </c>
      <c r="BS588" t="s">
        <v>8562</v>
      </c>
      <c r="BT588" t="str">
        <f>HYPERLINK("https%3A%2F%2Fwww.webofscience.com%2Fwos%2Fwoscc%2Ffull-record%2FWOS:000225543400011","View Full Record in Web of Science")</f>
        <v>View Full Record in Web of Science</v>
      </c>
    </row>
    <row r="589" spans="1:72" x14ac:dyDescent="0.15">
      <c r="A589" t="s">
        <v>72</v>
      </c>
      <c r="B589" t="s">
        <v>8563</v>
      </c>
      <c r="C589" t="s">
        <v>74</v>
      </c>
      <c r="D589" t="s">
        <v>74</v>
      </c>
      <c r="E589" t="s">
        <v>74</v>
      </c>
      <c r="F589" t="s">
        <v>8563</v>
      </c>
      <c r="G589" t="s">
        <v>74</v>
      </c>
      <c r="H589" t="s">
        <v>74</v>
      </c>
      <c r="I589" t="s">
        <v>8564</v>
      </c>
      <c r="J589" t="s">
        <v>8510</v>
      </c>
      <c r="K589" t="s">
        <v>74</v>
      </c>
      <c r="L589" t="s">
        <v>74</v>
      </c>
      <c r="M589" t="s">
        <v>77</v>
      </c>
      <c r="N589" t="s">
        <v>822</v>
      </c>
      <c r="O589" t="s">
        <v>74</v>
      </c>
      <c r="P589" t="s">
        <v>74</v>
      </c>
      <c r="Q589" t="s">
        <v>74</v>
      </c>
      <c r="R589" t="s">
        <v>74</v>
      </c>
      <c r="S589" t="s">
        <v>74</v>
      </c>
      <c r="T589" t="s">
        <v>74</v>
      </c>
      <c r="U589" t="s">
        <v>8565</v>
      </c>
      <c r="V589" t="s">
        <v>74</v>
      </c>
      <c r="W589" t="s">
        <v>8566</v>
      </c>
      <c r="X589" t="s">
        <v>8567</v>
      </c>
      <c r="Y589" t="s">
        <v>8568</v>
      </c>
      <c r="Z589" t="s">
        <v>8569</v>
      </c>
      <c r="AA589" t="s">
        <v>8570</v>
      </c>
      <c r="AB589" t="s">
        <v>8571</v>
      </c>
      <c r="AC589" t="s">
        <v>74</v>
      </c>
      <c r="AD589" t="s">
        <v>74</v>
      </c>
      <c r="AE589" t="s">
        <v>74</v>
      </c>
      <c r="AF589" t="s">
        <v>74</v>
      </c>
      <c r="AG589">
        <v>40</v>
      </c>
      <c r="AH589">
        <v>12</v>
      </c>
      <c r="AI589">
        <v>15</v>
      </c>
      <c r="AJ589">
        <v>0</v>
      </c>
      <c r="AK589">
        <v>17</v>
      </c>
      <c r="AL589" t="s">
        <v>3622</v>
      </c>
      <c r="AM589" t="s">
        <v>3623</v>
      </c>
      <c r="AN589" t="s">
        <v>3624</v>
      </c>
      <c r="AO589" t="s">
        <v>8517</v>
      </c>
      <c r="AP589" t="s">
        <v>8518</v>
      </c>
      <c r="AQ589" t="s">
        <v>74</v>
      </c>
      <c r="AR589" t="s">
        <v>8519</v>
      </c>
      <c r="AS589" t="s">
        <v>8520</v>
      </c>
      <c r="AT589" t="s">
        <v>74</v>
      </c>
      <c r="AU589">
        <v>2004</v>
      </c>
      <c r="AV589">
        <v>281</v>
      </c>
      <c r="AW589" t="s">
        <v>74</v>
      </c>
      <c r="AX589" t="s">
        <v>74</v>
      </c>
      <c r="AY589" t="s">
        <v>74</v>
      </c>
      <c r="AZ589" t="s">
        <v>74</v>
      </c>
      <c r="BA589" t="s">
        <v>74</v>
      </c>
      <c r="BB589">
        <v>297</v>
      </c>
      <c r="BC589">
        <v>301</v>
      </c>
      <c r="BD589" t="s">
        <v>74</v>
      </c>
      <c r="BE589" t="s">
        <v>8572</v>
      </c>
      <c r="BF589" t="str">
        <f>HYPERLINK("http://dx.doi.org/10.3354/meps281297","http://dx.doi.org/10.3354/meps281297")</f>
        <v>http://dx.doi.org/10.3354/meps281297</v>
      </c>
      <c r="BG589" t="s">
        <v>74</v>
      </c>
      <c r="BH589" t="s">
        <v>74</v>
      </c>
      <c r="BI589">
        <v>5</v>
      </c>
      <c r="BJ589" t="s">
        <v>8522</v>
      </c>
      <c r="BK589" t="s">
        <v>96</v>
      </c>
      <c r="BL589" t="s">
        <v>8523</v>
      </c>
      <c r="BM589" t="s">
        <v>8550</v>
      </c>
      <c r="BN589" t="s">
        <v>74</v>
      </c>
      <c r="BO589" t="s">
        <v>74</v>
      </c>
      <c r="BP589" t="s">
        <v>74</v>
      </c>
      <c r="BQ589" t="s">
        <v>74</v>
      </c>
      <c r="BR589" t="s">
        <v>99</v>
      </c>
      <c r="BS589" t="s">
        <v>8573</v>
      </c>
      <c r="BT589" t="str">
        <f>HYPERLINK("https%3A%2F%2Fwww.webofscience.com%2Fwos%2Fwoscc%2Ffull-record%2FWOS:000225543400025","View Full Record in Web of Science")</f>
        <v>View Full Record in Web of Science</v>
      </c>
    </row>
    <row r="590" spans="1:72" x14ac:dyDescent="0.15">
      <c r="A590" t="s">
        <v>72</v>
      </c>
      <c r="B590" t="s">
        <v>8574</v>
      </c>
      <c r="C590" t="s">
        <v>74</v>
      </c>
      <c r="D590" t="s">
        <v>74</v>
      </c>
      <c r="E590" t="s">
        <v>74</v>
      </c>
      <c r="F590" t="s">
        <v>8574</v>
      </c>
      <c r="G590" t="s">
        <v>74</v>
      </c>
      <c r="H590" t="s">
        <v>74</v>
      </c>
      <c r="I590" t="s">
        <v>8575</v>
      </c>
      <c r="J590" t="s">
        <v>8510</v>
      </c>
      <c r="K590" t="s">
        <v>74</v>
      </c>
      <c r="L590" t="s">
        <v>74</v>
      </c>
      <c r="M590" t="s">
        <v>77</v>
      </c>
      <c r="N590" t="s">
        <v>78</v>
      </c>
      <c r="O590" t="s">
        <v>74</v>
      </c>
      <c r="P590" t="s">
        <v>74</v>
      </c>
      <c r="Q590" t="s">
        <v>74</v>
      </c>
      <c r="R590" t="s">
        <v>74</v>
      </c>
      <c r="S590" t="s">
        <v>74</v>
      </c>
      <c r="T590" t="s">
        <v>8576</v>
      </c>
      <c r="U590" t="s">
        <v>8577</v>
      </c>
      <c r="V590" t="s">
        <v>8578</v>
      </c>
      <c r="W590" t="s">
        <v>6427</v>
      </c>
      <c r="X590" t="s">
        <v>82</v>
      </c>
      <c r="Y590" t="s">
        <v>8579</v>
      </c>
      <c r="Z590" t="s">
        <v>8580</v>
      </c>
      <c r="AA590" t="s">
        <v>8581</v>
      </c>
      <c r="AB590" t="s">
        <v>8582</v>
      </c>
      <c r="AC590" t="s">
        <v>74</v>
      </c>
      <c r="AD590" t="s">
        <v>74</v>
      </c>
      <c r="AE590" t="s">
        <v>74</v>
      </c>
      <c r="AF590" t="s">
        <v>74</v>
      </c>
      <c r="AG590">
        <v>46</v>
      </c>
      <c r="AH590">
        <v>83</v>
      </c>
      <c r="AI590">
        <v>90</v>
      </c>
      <c r="AJ590">
        <v>0</v>
      </c>
      <c r="AK590">
        <v>19</v>
      </c>
      <c r="AL590" t="s">
        <v>3622</v>
      </c>
      <c r="AM590" t="s">
        <v>3623</v>
      </c>
      <c r="AN590" t="s">
        <v>3624</v>
      </c>
      <c r="AO590" t="s">
        <v>8517</v>
      </c>
      <c r="AP590" t="s">
        <v>8518</v>
      </c>
      <c r="AQ590" t="s">
        <v>74</v>
      </c>
      <c r="AR590" t="s">
        <v>8519</v>
      </c>
      <c r="AS590" t="s">
        <v>8520</v>
      </c>
      <c r="AT590" t="s">
        <v>74</v>
      </c>
      <c r="AU590">
        <v>2004</v>
      </c>
      <c r="AV590">
        <v>280</v>
      </c>
      <c r="AW590" t="s">
        <v>74</v>
      </c>
      <c r="AX590" t="s">
        <v>74</v>
      </c>
      <c r="AY590" t="s">
        <v>74</v>
      </c>
      <c r="AZ590" t="s">
        <v>74</v>
      </c>
      <c r="BA590" t="s">
        <v>74</v>
      </c>
      <c r="BB590">
        <v>261</v>
      </c>
      <c r="BC590">
        <v>273</v>
      </c>
      <c r="BD590" t="s">
        <v>74</v>
      </c>
      <c r="BE590" t="s">
        <v>8583</v>
      </c>
      <c r="BF590" t="str">
        <f>HYPERLINK("http://dx.doi.org/10.3354/meps280261","http://dx.doi.org/10.3354/meps280261")</f>
        <v>http://dx.doi.org/10.3354/meps280261</v>
      </c>
      <c r="BG590" t="s">
        <v>74</v>
      </c>
      <c r="BH590" t="s">
        <v>74</v>
      </c>
      <c r="BI590">
        <v>13</v>
      </c>
      <c r="BJ590" t="s">
        <v>8522</v>
      </c>
      <c r="BK590" t="s">
        <v>96</v>
      </c>
      <c r="BL590" t="s">
        <v>8523</v>
      </c>
      <c r="BM590" t="s">
        <v>8584</v>
      </c>
      <c r="BN590" t="s">
        <v>74</v>
      </c>
      <c r="BO590" t="s">
        <v>541</v>
      </c>
      <c r="BP590" t="s">
        <v>74</v>
      </c>
      <c r="BQ590" t="s">
        <v>74</v>
      </c>
      <c r="BR590" t="s">
        <v>99</v>
      </c>
      <c r="BS590" t="s">
        <v>8585</v>
      </c>
      <c r="BT590" t="str">
        <f>HYPERLINK("https%3A%2F%2Fwww.webofscience.com%2Fwos%2Fwoscc%2Ffull-record%2FWOS:000225268500022","View Full Record in Web of Science")</f>
        <v>View Full Record in Web of Science</v>
      </c>
    </row>
    <row r="591" spans="1:72" x14ac:dyDescent="0.15">
      <c r="A591" t="s">
        <v>72</v>
      </c>
      <c r="B591" t="s">
        <v>8586</v>
      </c>
      <c r="C591" t="s">
        <v>74</v>
      </c>
      <c r="D591" t="s">
        <v>74</v>
      </c>
      <c r="E591" t="s">
        <v>74</v>
      </c>
      <c r="F591" t="s">
        <v>8586</v>
      </c>
      <c r="G591" t="s">
        <v>74</v>
      </c>
      <c r="H591" t="s">
        <v>74</v>
      </c>
      <c r="I591" t="s">
        <v>8587</v>
      </c>
      <c r="J591" t="s">
        <v>8510</v>
      </c>
      <c r="K591" t="s">
        <v>74</v>
      </c>
      <c r="L591" t="s">
        <v>74</v>
      </c>
      <c r="M591" t="s">
        <v>77</v>
      </c>
      <c r="N591" t="s">
        <v>78</v>
      </c>
      <c r="O591" t="s">
        <v>74</v>
      </c>
      <c r="P591" t="s">
        <v>74</v>
      </c>
      <c r="Q591" t="s">
        <v>74</v>
      </c>
      <c r="R591" t="s">
        <v>74</v>
      </c>
      <c r="S591" t="s">
        <v>74</v>
      </c>
      <c r="T591" t="s">
        <v>8588</v>
      </c>
      <c r="U591" t="s">
        <v>8589</v>
      </c>
      <c r="V591" t="s">
        <v>8590</v>
      </c>
      <c r="W591" t="s">
        <v>1197</v>
      </c>
      <c r="X591" t="s">
        <v>1198</v>
      </c>
      <c r="Y591" t="s">
        <v>1199</v>
      </c>
      <c r="Z591" t="s">
        <v>8591</v>
      </c>
      <c r="AA591" t="s">
        <v>8592</v>
      </c>
      <c r="AB591" t="s">
        <v>8593</v>
      </c>
      <c r="AC591" t="s">
        <v>74</v>
      </c>
      <c r="AD591" t="s">
        <v>74</v>
      </c>
      <c r="AE591" t="s">
        <v>74</v>
      </c>
      <c r="AF591" t="s">
        <v>74</v>
      </c>
      <c r="AG591">
        <v>80</v>
      </c>
      <c r="AH591">
        <v>5</v>
      </c>
      <c r="AI591">
        <v>6</v>
      </c>
      <c r="AJ591">
        <v>0</v>
      </c>
      <c r="AK591">
        <v>8</v>
      </c>
      <c r="AL591" t="s">
        <v>3622</v>
      </c>
      <c r="AM591" t="s">
        <v>3623</v>
      </c>
      <c r="AN591" t="s">
        <v>3624</v>
      </c>
      <c r="AO591" t="s">
        <v>8517</v>
      </c>
      <c r="AP591" t="s">
        <v>8518</v>
      </c>
      <c r="AQ591" t="s">
        <v>74</v>
      </c>
      <c r="AR591" t="s">
        <v>8519</v>
      </c>
      <c r="AS591" t="s">
        <v>8520</v>
      </c>
      <c r="AT591" t="s">
        <v>74</v>
      </c>
      <c r="AU591">
        <v>2004</v>
      </c>
      <c r="AV591">
        <v>280</v>
      </c>
      <c r="AW591" t="s">
        <v>74</v>
      </c>
      <c r="AX591" t="s">
        <v>74</v>
      </c>
      <c r="AY591" t="s">
        <v>74</v>
      </c>
      <c r="AZ591" t="s">
        <v>74</v>
      </c>
      <c r="BA591" t="s">
        <v>74</v>
      </c>
      <c r="BB591">
        <v>275</v>
      </c>
      <c r="BC591">
        <v>283</v>
      </c>
      <c r="BD591" t="s">
        <v>74</v>
      </c>
      <c r="BE591" t="s">
        <v>8594</v>
      </c>
      <c r="BF591" t="str">
        <f>HYPERLINK("http://dx.doi.org/10.3354/meps280275","http://dx.doi.org/10.3354/meps280275")</f>
        <v>http://dx.doi.org/10.3354/meps280275</v>
      </c>
      <c r="BG591" t="s">
        <v>74</v>
      </c>
      <c r="BH591" t="s">
        <v>74</v>
      </c>
      <c r="BI591">
        <v>9</v>
      </c>
      <c r="BJ591" t="s">
        <v>8522</v>
      </c>
      <c r="BK591" t="s">
        <v>96</v>
      </c>
      <c r="BL591" t="s">
        <v>8523</v>
      </c>
      <c r="BM591" t="s">
        <v>8584</v>
      </c>
      <c r="BN591" t="s">
        <v>74</v>
      </c>
      <c r="BO591" t="s">
        <v>8595</v>
      </c>
      <c r="BP591" t="s">
        <v>74</v>
      </c>
      <c r="BQ591" t="s">
        <v>74</v>
      </c>
      <c r="BR591" t="s">
        <v>99</v>
      </c>
      <c r="BS591" t="s">
        <v>8596</v>
      </c>
      <c r="BT591" t="str">
        <f>HYPERLINK("https%3A%2F%2Fwww.webofscience.com%2Fwos%2Fwoscc%2Ffull-record%2FWOS:000225268500023","View Full Record in Web of Science")</f>
        <v>View Full Record in Web of Science</v>
      </c>
    </row>
    <row r="592" spans="1:72" x14ac:dyDescent="0.15">
      <c r="A592" t="s">
        <v>72</v>
      </c>
      <c r="B592" t="s">
        <v>8597</v>
      </c>
      <c r="C592" t="s">
        <v>74</v>
      </c>
      <c r="D592" t="s">
        <v>74</v>
      </c>
      <c r="E592" t="s">
        <v>74</v>
      </c>
      <c r="F592" t="s">
        <v>8597</v>
      </c>
      <c r="G592" t="s">
        <v>74</v>
      </c>
      <c r="H592" t="s">
        <v>74</v>
      </c>
      <c r="I592" t="s">
        <v>8598</v>
      </c>
      <c r="J592" t="s">
        <v>8510</v>
      </c>
      <c r="K592" t="s">
        <v>74</v>
      </c>
      <c r="L592" t="s">
        <v>74</v>
      </c>
      <c r="M592" t="s">
        <v>77</v>
      </c>
      <c r="N592" t="s">
        <v>78</v>
      </c>
      <c r="O592" t="s">
        <v>74</v>
      </c>
      <c r="P592" t="s">
        <v>74</v>
      </c>
      <c r="Q592" t="s">
        <v>74</v>
      </c>
      <c r="R592" t="s">
        <v>74</v>
      </c>
      <c r="S592" t="s">
        <v>74</v>
      </c>
      <c r="T592" t="s">
        <v>8599</v>
      </c>
      <c r="U592" t="s">
        <v>8600</v>
      </c>
      <c r="V592" t="s">
        <v>8601</v>
      </c>
      <c r="W592" t="s">
        <v>8602</v>
      </c>
      <c r="X592" t="s">
        <v>8603</v>
      </c>
      <c r="Y592" t="s">
        <v>8604</v>
      </c>
      <c r="Z592" t="s">
        <v>8605</v>
      </c>
      <c r="AA592" t="s">
        <v>8606</v>
      </c>
      <c r="AB592" t="s">
        <v>8607</v>
      </c>
      <c r="AC592" t="s">
        <v>74</v>
      </c>
      <c r="AD592" t="s">
        <v>74</v>
      </c>
      <c r="AE592" t="s">
        <v>74</v>
      </c>
      <c r="AF592" t="s">
        <v>74</v>
      </c>
      <c r="AG592">
        <v>67</v>
      </c>
      <c r="AH592">
        <v>105</v>
      </c>
      <c r="AI592">
        <v>115</v>
      </c>
      <c r="AJ592">
        <v>1</v>
      </c>
      <c r="AK592">
        <v>37</v>
      </c>
      <c r="AL592" t="s">
        <v>3622</v>
      </c>
      <c r="AM592" t="s">
        <v>3623</v>
      </c>
      <c r="AN592" t="s">
        <v>3624</v>
      </c>
      <c r="AO592" t="s">
        <v>8517</v>
      </c>
      <c r="AP592" t="s">
        <v>8518</v>
      </c>
      <c r="AQ592" t="s">
        <v>74</v>
      </c>
      <c r="AR592" t="s">
        <v>8519</v>
      </c>
      <c r="AS592" t="s">
        <v>8520</v>
      </c>
      <c r="AT592" t="s">
        <v>74</v>
      </c>
      <c r="AU592">
        <v>2004</v>
      </c>
      <c r="AV592">
        <v>279</v>
      </c>
      <c r="AW592" t="s">
        <v>74</v>
      </c>
      <c r="AX592" t="s">
        <v>74</v>
      </c>
      <c r="AY592" t="s">
        <v>74</v>
      </c>
      <c r="AZ592" t="s">
        <v>74</v>
      </c>
      <c r="BA592" t="s">
        <v>74</v>
      </c>
      <c r="BB592">
        <v>161</v>
      </c>
      <c r="BC592">
        <v>181</v>
      </c>
      <c r="BD592" t="s">
        <v>74</v>
      </c>
      <c r="BE592" t="s">
        <v>8608</v>
      </c>
      <c r="BF592" t="str">
        <f>HYPERLINK("http://dx.doi.org/10.3354/meps279161","http://dx.doi.org/10.3354/meps279161")</f>
        <v>http://dx.doi.org/10.3354/meps279161</v>
      </c>
      <c r="BG592" t="s">
        <v>74</v>
      </c>
      <c r="BH592" t="s">
        <v>74</v>
      </c>
      <c r="BI592">
        <v>21</v>
      </c>
      <c r="BJ592" t="s">
        <v>8522</v>
      </c>
      <c r="BK592" t="s">
        <v>96</v>
      </c>
      <c r="BL592" t="s">
        <v>8523</v>
      </c>
      <c r="BM592" t="s">
        <v>8609</v>
      </c>
      <c r="BN592" t="s">
        <v>74</v>
      </c>
      <c r="BO592" t="s">
        <v>286</v>
      </c>
      <c r="BP592" t="s">
        <v>74</v>
      </c>
      <c r="BQ592" t="s">
        <v>74</v>
      </c>
      <c r="BR592" t="s">
        <v>99</v>
      </c>
      <c r="BS592" t="s">
        <v>8610</v>
      </c>
      <c r="BT592" t="str">
        <f>HYPERLINK("https%3A%2F%2Fwww.webofscience.com%2Fwos%2Fwoscc%2Ffull-record%2FWOS:000224800400017","View Full Record in Web of Science")</f>
        <v>View Full Record in Web of Science</v>
      </c>
    </row>
    <row r="593" spans="1:72" x14ac:dyDescent="0.15">
      <c r="A593" t="s">
        <v>72</v>
      </c>
      <c r="B593" t="s">
        <v>8611</v>
      </c>
      <c r="C593" t="s">
        <v>74</v>
      </c>
      <c r="D593" t="s">
        <v>74</v>
      </c>
      <c r="E593" t="s">
        <v>74</v>
      </c>
      <c r="F593" t="s">
        <v>8611</v>
      </c>
      <c r="G593" t="s">
        <v>74</v>
      </c>
      <c r="H593" t="s">
        <v>74</v>
      </c>
      <c r="I593" t="s">
        <v>8612</v>
      </c>
      <c r="J593" t="s">
        <v>8510</v>
      </c>
      <c r="K593" t="s">
        <v>74</v>
      </c>
      <c r="L593" t="s">
        <v>74</v>
      </c>
      <c r="M593" t="s">
        <v>77</v>
      </c>
      <c r="N593" t="s">
        <v>78</v>
      </c>
      <c r="O593" t="s">
        <v>74</v>
      </c>
      <c r="P593" t="s">
        <v>74</v>
      </c>
      <c r="Q593" t="s">
        <v>74</v>
      </c>
      <c r="R593" t="s">
        <v>74</v>
      </c>
      <c r="S593" t="s">
        <v>74</v>
      </c>
      <c r="T593" t="s">
        <v>8613</v>
      </c>
      <c r="U593" t="s">
        <v>8614</v>
      </c>
      <c r="V593" t="s">
        <v>8615</v>
      </c>
      <c r="W593" t="s">
        <v>8616</v>
      </c>
      <c r="X593" t="s">
        <v>8617</v>
      </c>
      <c r="Y593" t="s">
        <v>8618</v>
      </c>
      <c r="Z593" t="s">
        <v>8619</v>
      </c>
      <c r="AA593" t="s">
        <v>74</v>
      </c>
      <c r="AB593" t="s">
        <v>8620</v>
      </c>
      <c r="AC593" t="s">
        <v>74</v>
      </c>
      <c r="AD593" t="s">
        <v>74</v>
      </c>
      <c r="AE593" t="s">
        <v>74</v>
      </c>
      <c r="AF593" t="s">
        <v>74</v>
      </c>
      <c r="AG593">
        <v>92</v>
      </c>
      <c r="AH593">
        <v>68</v>
      </c>
      <c r="AI593">
        <v>72</v>
      </c>
      <c r="AJ593">
        <v>1</v>
      </c>
      <c r="AK593">
        <v>22</v>
      </c>
      <c r="AL593" t="s">
        <v>3622</v>
      </c>
      <c r="AM593" t="s">
        <v>3623</v>
      </c>
      <c r="AN593" t="s">
        <v>3624</v>
      </c>
      <c r="AO593" t="s">
        <v>8517</v>
      </c>
      <c r="AP593" t="s">
        <v>8518</v>
      </c>
      <c r="AQ593" t="s">
        <v>74</v>
      </c>
      <c r="AR593" t="s">
        <v>8519</v>
      </c>
      <c r="AS593" t="s">
        <v>8520</v>
      </c>
      <c r="AT593" t="s">
        <v>74</v>
      </c>
      <c r="AU593">
        <v>2004</v>
      </c>
      <c r="AV593">
        <v>278</v>
      </c>
      <c r="AW593" t="s">
        <v>74</v>
      </c>
      <c r="AX593" t="s">
        <v>74</v>
      </c>
      <c r="AY593" t="s">
        <v>74</v>
      </c>
      <c r="AZ593" t="s">
        <v>74</v>
      </c>
      <c r="BA593" t="s">
        <v>74</v>
      </c>
      <c r="BB593">
        <v>1</v>
      </c>
      <c r="BC593">
        <v>16</v>
      </c>
      <c r="BD593" t="s">
        <v>74</v>
      </c>
      <c r="BE593" t="s">
        <v>8621</v>
      </c>
      <c r="BF593" t="str">
        <f>HYPERLINK("http://dx.doi.org/10.3354/meps278001","http://dx.doi.org/10.3354/meps278001")</f>
        <v>http://dx.doi.org/10.3354/meps278001</v>
      </c>
      <c r="BG593" t="s">
        <v>74</v>
      </c>
      <c r="BH593" t="s">
        <v>74</v>
      </c>
      <c r="BI593">
        <v>16</v>
      </c>
      <c r="BJ593" t="s">
        <v>8522</v>
      </c>
      <c r="BK593" t="s">
        <v>96</v>
      </c>
      <c r="BL593" t="s">
        <v>8523</v>
      </c>
      <c r="BM593" t="s">
        <v>8622</v>
      </c>
      <c r="BN593" t="s">
        <v>74</v>
      </c>
      <c r="BO593" t="s">
        <v>516</v>
      </c>
      <c r="BP593" t="s">
        <v>74</v>
      </c>
      <c r="BQ593" t="s">
        <v>74</v>
      </c>
      <c r="BR593" t="s">
        <v>99</v>
      </c>
      <c r="BS593" t="s">
        <v>8623</v>
      </c>
      <c r="BT593" t="str">
        <f>HYPERLINK("https%3A%2F%2Fwww.webofscience.com%2Fwos%2Fwoscc%2Ffull-record%2FWOS:000224640700001","View Full Record in Web of Science")</f>
        <v>View Full Record in Web of Science</v>
      </c>
    </row>
    <row r="594" spans="1:72" x14ac:dyDescent="0.15">
      <c r="A594" t="s">
        <v>72</v>
      </c>
      <c r="B594" t="s">
        <v>8624</v>
      </c>
      <c r="C594" t="s">
        <v>74</v>
      </c>
      <c r="D594" t="s">
        <v>74</v>
      </c>
      <c r="E594" t="s">
        <v>74</v>
      </c>
      <c r="F594" t="s">
        <v>8624</v>
      </c>
      <c r="G594" t="s">
        <v>74</v>
      </c>
      <c r="H594" t="s">
        <v>74</v>
      </c>
      <c r="I594" t="s">
        <v>8625</v>
      </c>
      <c r="J594" t="s">
        <v>8510</v>
      </c>
      <c r="K594" t="s">
        <v>74</v>
      </c>
      <c r="L594" t="s">
        <v>74</v>
      </c>
      <c r="M594" t="s">
        <v>77</v>
      </c>
      <c r="N594" t="s">
        <v>78</v>
      </c>
      <c r="O594" t="s">
        <v>74</v>
      </c>
      <c r="P594" t="s">
        <v>74</v>
      </c>
      <c r="Q594" t="s">
        <v>74</v>
      </c>
      <c r="R594" t="s">
        <v>74</v>
      </c>
      <c r="S594" t="s">
        <v>74</v>
      </c>
      <c r="T594" t="s">
        <v>8626</v>
      </c>
      <c r="U594" t="s">
        <v>8627</v>
      </c>
      <c r="V594" t="s">
        <v>8628</v>
      </c>
      <c r="W594" t="s">
        <v>8629</v>
      </c>
      <c r="X594" t="s">
        <v>8630</v>
      </c>
      <c r="Y594" t="s">
        <v>8631</v>
      </c>
      <c r="Z594" t="s">
        <v>8632</v>
      </c>
      <c r="AA594" t="s">
        <v>8633</v>
      </c>
      <c r="AB594" t="s">
        <v>8634</v>
      </c>
      <c r="AC594" t="s">
        <v>74</v>
      </c>
      <c r="AD594" t="s">
        <v>74</v>
      </c>
      <c r="AE594" t="s">
        <v>74</v>
      </c>
      <c r="AF594" t="s">
        <v>74</v>
      </c>
      <c r="AG594">
        <v>77</v>
      </c>
      <c r="AH594">
        <v>45</v>
      </c>
      <c r="AI594">
        <v>51</v>
      </c>
      <c r="AJ594">
        <v>0</v>
      </c>
      <c r="AK594">
        <v>13</v>
      </c>
      <c r="AL594" t="s">
        <v>3622</v>
      </c>
      <c r="AM594" t="s">
        <v>3623</v>
      </c>
      <c r="AN594" t="s">
        <v>3624</v>
      </c>
      <c r="AO594" t="s">
        <v>8517</v>
      </c>
      <c r="AP594" t="s">
        <v>8518</v>
      </c>
      <c r="AQ594" t="s">
        <v>74</v>
      </c>
      <c r="AR594" t="s">
        <v>8519</v>
      </c>
      <c r="AS594" t="s">
        <v>8520</v>
      </c>
      <c r="AT594" t="s">
        <v>74</v>
      </c>
      <c r="AU594">
        <v>2004</v>
      </c>
      <c r="AV594">
        <v>278</v>
      </c>
      <c r="AW594" t="s">
        <v>74</v>
      </c>
      <c r="AX594" t="s">
        <v>74</v>
      </c>
      <c r="AY594" t="s">
        <v>74</v>
      </c>
      <c r="AZ594" t="s">
        <v>74</v>
      </c>
      <c r="BA594" t="s">
        <v>74</v>
      </c>
      <c r="BB594">
        <v>141</v>
      </c>
      <c r="BC594">
        <v>155</v>
      </c>
      <c r="BD594" t="s">
        <v>74</v>
      </c>
      <c r="BE594" t="s">
        <v>8635</v>
      </c>
      <c r="BF594" t="str">
        <f>HYPERLINK("http://dx.doi.org/10.3354/meps278141","http://dx.doi.org/10.3354/meps278141")</f>
        <v>http://dx.doi.org/10.3354/meps278141</v>
      </c>
      <c r="BG594" t="s">
        <v>74</v>
      </c>
      <c r="BH594" t="s">
        <v>74</v>
      </c>
      <c r="BI594">
        <v>15</v>
      </c>
      <c r="BJ594" t="s">
        <v>8522</v>
      </c>
      <c r="BK594" t="s">
        <v>96</v>
      </c>
      <c r="BL594" t="s">
        <v>8523</v>
      </c>
      <c r="BM594" t="s">
        <v>8622</v>
      </c>
      <c r="BN594" t="s">
        <v>74</v>
      </c>
      <c r="BO594" t="s">
        <v>541</v>
      </c>
      <c r="BP594" t="s">
        <v>74</v>
      </c>
      <c r="BQ594" t="s">
        <v>74</v>
      </c>
      <c r="BR594" t="s">
        <v>99</v>
      </c>
      <c r="BS594" t="s">
        <v>8636</v>
      </c>
      <c r="BT594" t="str">
        <f>HYPERLINK("https%3A%2F%2Fwww.webofscience.com%2Fwos%2Fwoscc%2Ffull-record%2FWOS:000224640700012","View Full Record in Web of Science")</f>
        <v>View Full Record in Web of Science</v>
      </c>
    </row>
    <row r="595" spans="1:72" x14ac:dyDescent="0.15">
      <c r="A595" t="s">
        <v>72</v>
      </c>
      <c r="B595" t="s">
        <v>8637</v>
      </c>
      <c r="C595" t="s">
        <v>74</v>
      </c>
      <c r="D595" t="s">
        <v>74</v>
      </c>
      <c r="E595" t="s">
        <v>74</v>
      </c>
      <c r="F595" t="s">
        <v>8637</v>
      </c>
      <c r="G595" t="s">
        <v>74</v>
      </c>
      <c r="H595" t="s">
        <v>74</v>
      </c>
      <c r="I595" t="s">
        <v>8638</v>
      </c>
      <c r="J595" t="s">
        <v>8510</v>
      </c>
      <c r="K595" t="s">
        <v>74</v>
      </c>
      <c r="L595" t="s">
        <v>74</v>
      </c>
      <c r="M595" t="s">
        <v>77</v>
      </c>
      <c r="N595" t="s">
        <v>78</v>
      </c>
      <c r="O595" t="s">
        <v>74</v>
      </c>
      <c r="P595" t="s">
        <v>74</v>
      </c>
      <c r="Q595" t="s">
        <v>74</v>
      </c>
      <c r="R595" t="s">
        <v>74</v>
      </c>
      <c r="S595" t="s">
        <v>74</v>
      </c>
      <c r="T595" t="s">
        <v>8639</v>
      </c>
      <c r="U595" t="s">
        <v>8640</v>
      </c>
      <c r="V595" t="s">
        <v>8641</v>
      </c>
      <c r="W595" t="s">
        <v>8642</v>
      </c>
      <c r="X595" t="s">
        <v>1966</v>
      </c>
      <c r="Y595" t="s">
        <v>8643</v>
      </c>
      <c r="Z595" t="s">
        <v>8644</v>
      </c>
      <c r="AA595" t="s">
        <v>8645</v>
      </c>
      <c r="AB595" t="s">
        <v>8646</v>
      </c>
      <c r="AC595" t="s">
        <v>74</v>
      </c>
      <c r="AD595" t="s">
        <v>74</v>
      </c>
      <c r="AE595" t="s">
        <v>74</v>
      </c>
      <c r="AF595" t="s">
        <v>74</v>
      </c>
      <c r="AG595">
        <v>46</v>
      </c>
      <c r="AH595">
        <v>44</v>
      </c>
      <c r="AI595">
        <v>50</v>
      </c>
      <c r="AJ595">
        <v>0</v>
      </c>
      <c r="AK595">
        <v>16</v>
      </c>
      <c r="AL595" t="s">
        <v>3622</v>
      </c>
      <c r="AM595" t="s">
        <v>3623</v>
      </c>
      <c r="AN595" t="s">
        <v>3624</v>
      </c>
      <c r="AO595" t="s">
        <v>8517</v>
      </c>
      <c r="AP595" t="s">
        <v>74</v>
      </c>
      <c r="AQ595" t="s">
        <v>74</v>
      </c>
      <c r="AR595" t="s">
        <v>8519</v>
      </c>
      <c r="AS595" t="s">
        <v>8520</v>
      </c>
      <c r="AT595" t="s">
        <v>74</v>
      </c>
      <c r="AU595">
        <v>2004</v>
      </c>
      <c r="AV595">
        <v>277</v>
      </c>
      <c r="AW595" t="s">
        <v>74</v>
      </c>
      <c r="AX595" t="s">
        <v>74</v>
      </c>
      <c r="AY595" t="s">
        <v>74</v>
      </c>
      <c r="AZ595" t="s">
        <v>74</v>
      </c>
      <c r="BA595" t="s">
        <v>74</v>
      </c>
      <c r="BB595">
        <v>1</v>
      </c>
      <c r="BC595">
        <v>12</v>
      </c>
      <c r="BD595" t="s">
        <v>74</v>
      </c>
      <c r="BE595" t="s">
        <v>8647</v>
      </c>
      <c r="BF595" t="str">
        <f>HYPERLINK("http://dx.doi.org/10.3354/meps277001","http://dx.doi.org/10.3354/meps277001")</f>
        <v>http://dx.doi.org/10.3354/meps277001</v>
      </c>
      <c r="BG595" t="s">
        <v>74</v>
      </c>
      <c r="BH595" t="s">
        <v>74</v>
      </c>
      <c r="BI595">
        <v>12</v>
      </c>
      <c r="BJ595" t="s">
        <v>8522</v>
      </c>
      <c r="BK595" t="s">
        <v>96</v>
      </c>
      <c r="BL595" t="s">
        <v>8523</v>
      </c>
      <c r="BM595" t="s">
        <v>8648</v>
      </c>
      <c r="BN595" t="s">
        <v>74</v>
      </c>
      <c r="BO595" t="s">
        <v>541</v>
      </c>
      <c r="BP595" t="s">
        <v>74</v>
      </c>
      <c r="BQ595" t="s">
        <v>74</v>
      </c>
      <c r="BR595" t="s">
        <v>99</v>
      </c>
      <c r="BS595" t="s">
        <v>8649</v>
      </c>
      <c r="BT595" t="str">
        <f>HYPERLINK("https%3A%2F%2Fwww.webofscience.com%2Fwos%2Fwoscc%2Ffull-record%2FWOS:000224095900001","View Full Record in Web of Science")</f>
        <v>View Full Record in Web of Science</v>
      </c>
    </row>
    <row r="596" spans="1:72" x14ac:dyDescent="0.15">
      <c r="A596" t="s">
        <v>72</v>
      </c>
      <c r="B596" t="s">
        <v>8650</v>
      </c>
      <c r="C596" t="s">
        <v>74</v>
      </c>
      <c r="D596" t="s">
        <v>74</v>
      </c>
      <c r="E596" t="s">
        <v>74</v>
      </c>
      <c r="F596" t="s">
        <v>8650</v>
      </c>
      <c r="G596" t="s">
        <v>74</v>
      </c>
      <c r="H596" t="s">
        <v>74</v>
      </c>
      <c r="I596" t="s">
        <v>8651</v>
      </c>
      <c r="J596" t="s">
        <v>8510</v>
      </c>
      <c r="K596" t="s">
        <v>74</v>
      </c>
      <c r="L596" t="s">
        <v>74</v>
      </c>
      <c r="M596" t="s">
        <v>77</v>
      </c>
      <c r="N596" t="s">
        <v>78</v>
      </c>
      <c r="O596" t="s">
        <v>74</v>
      </c>
      <c r="P596" t="s">
        <v>74</v>
      </c>
      <c r="Q596" t="s">
        <v>74</v>
      </c>
      <c r="R596" t="s">
        <v>74</v>
      </c>
      <c r="S596" t="s">
        <v>74</v>
      </c>
      <c r="T596" t="s">
        <v>8652</v>
      </c>
      <c r="U596" t="s">
        <v>8653</v>
      </c>
      <c r="V596" t="s">
        <v>8654</v>
      </c>
      <c r="W596" t="s">
        <v>8655</v>
      </c>
      <c r="X596" t="s">
        <v>8656</v>
      </c>
      <c r="Y596" t="s">
        <v>8657</v>
      </c>
      <c r="Z596" t="s">
        <v>8658</v>
      </c>
      <c r="AA596" t="s">
        <v>74</v>
      </c>
      <c r="AB596" t="s">
        <v>74</v>
      </c>
      <c r="AC596" t="s">
        <v>74</v>
      </c>
      <c r="AD596" t="s">
        <v>74</v>
      </c>
      <c r="AE596" t="s">
        <v>74</v>
      </c>
      <c r="AF596" t="s">
        <v>74</v>
      </c>
      <c r="AG596">
        <v>59</v>
      </c>
      <c r="AH596">
        <v>78</v>
      </c>
      <c r="AI596">
        <v>85</v>
      </c>
      <c r="AJ596">
        <v>1</v>
      </c>
      <c r="AK596">
        <v>30</v>
      </c>
      <c r="AL596" t="s">
        <v>3622</v>
      </c>
      <c r="AM596" t="s">
        <v>3623</v>
      </c>
      <c r="AN596" t="s">
        <v>3624</v>
      </c>
      <c r="AO596" t="s">
        <v>8517</v>
      </c>
      <c r="AP596" t="s">
        <v>8518</v>
      </c>
      <c r="AQ596" t="s">
        <v>74</v>
      </c>
      <c r="AR596" t="s">
        <v>8519</v>
      </c>
      <c r="AS596" t="s">
        <v>8520</v>
      </c>
      <c r="AT596" t="s">
        <v>74</v>
      </c>
      <c r="AU596">
        <v>2004</v>
      </c>
      <c r="AV596">
        <v>277</v>
      </c>
      <c r="AW596" t="s">
        <v>74</v>
      </c>
      <c r="AX596" t="s">
        <v>74</v>
      </c>
      <c r="AY596" t="s">
        <v>74</v>
      </c>
      <c r="AZ596" t="s">
        <v>74</v>
      </c>
      <c r="BA596" t="s">
        <v>74</v>
      </c>
      <c r="BB596">
        <v>25</v>
      </c>
      <c r="BC596">
        <v>35</v>
      </c>
      <c r="BD596" t="s">
        <v>74</v>
      </c>
      <c r="BE596" t="s">
        <v>8659</v>
      </c>
      <c r="BF596" t="str">
        <f>HYPERLINK("http://dx.doi.org/10.3354/meps277025","http://dx.doi.org/10.3354/meps277025")</f>
        <v>http://dx.doi.org/10.3354/meps277025</v>
      </c>
      <c r="BG596" t="s">
        <v>74</v>
      </c>
      <c r="BH596" t="s">
        <v>74</v>
      </c>
      <c r="BI596">
        <v>11</v>
      </c>
      <c r="BJ596" t="s">
        <v>8522</v>
      </c>
      <c r="BK596" t="s">
        <v>96</v>
      </c>
      <c r="BL596" t="s">
        <v>8523</v>
      </c>
      <c r="BM596" t="s">
        <v>8648</v>
      </c>
      <c r="BN596" t="s">
        <v>74</v>
      </c>
      <c r="BO596" t="s">
        <v>541</v>
      </c>
      <c r="BP596" t="s">
        <v>74</v>
      </c>
      <c r="BQ596" t="s">
        <v>74</v>
      </c>
      <c r="BR596" t="s">
        <v>99</v>
      </c>
      <c r="BS596" t="s">
        <v>8660</v>
      </c>
      <c r="BT596" t="str">
        <f>HYPERLINK("https%3A%2F%2Fwww.webofscience.com%2Fwos%2Fwoscc%2Ffull-record%2FWOS:000224095900003","View Full Record in Web of Science")</f>
        <v>View Full Record in Web of Science</v>
      </c>
    </row>
    <row r="597" spans="1:72" x14ac:dyDescent="0.15">
      <c r="A597" t="s">
        <v>72</v>
      </c>
      <c r="B597" t="s">
        <v>8661</v>
      </c>
      <c r="C597" t="s">
        <v>74</v>
      </c>
      <c r="D597" t="s">
        <v>74</v>
      </c>
      <c r="E597" t="s">
        <v>74</v>
      </c>
      <c r="F597" t="s">
        <v>8661</v>
      </c>
      <c r="G597" t="s">
        <v>74</v>
      </c>
      <c r="H597" t="s">
        <v>74</v>
      </c>
      <c r="I597" t="s">
        <v>8662</v>
      </c>
      <c r="J597" t="s">
        <v>8510</v>
      </c>
      <c r="K597" t="s">
        <v>74</v>
      </c>
      <c r="L597" t="s">
        <v>74</v>
      </c>
      <c r="M597" t="s">
        <v>77</v>
      </c>
      <c r="N597" t="s">
        <v>78</v>
      </c>
      <c r="O597" t="s">
        <v>74</v>
      </c>
      <c r="P597" t="s">
        <v>74</v>
      </c>
      <c r="Q597" t="s">
        <v>74</v>
      </c>
      <c r="R597" t="s">
        <v>74</v>
      </c>
      <c r="S597" t="s">
        <v>74</v>
      </c>
      <c r="T597" t="s">
        <v>8663</v>
      </c>
      <c r="U597" t="s">
        <v>8664</v>
      </c>
      <c r="V597" t="s">
        <v>8665</v>
      </c>
      <c r="W597" t="s">
        <v>8666</v>
      </c>
      <c r="X597" t="s">
        <v>8667</v>
      </c>
      <c r="Y597" t="s">
        <v>8668</v>
      </c>
      <c r="Z597" t="s">
        <v>8669</v>
      </c>
      <c r="AA597" t="s">
        <v>8670</v>
      </c>
      <c r="AB597" t="s">
        <v>8671</v>
      </c>
      <c r="AC597" t="s">
        <v>74</v>
      </c>
      <c r="AD597" t="s">
        <v>74</v>
      </c>
      <c r="AE597" t="s">
        <v>74</v>
      </c>
      <c r="AF597" t="s">
        <v>74</v>
      </c>
      <c r="AG597">
        <v>51</v>
      </c>
      <c r="AH597">
        <v>16</v>
      </c>
      <c r="AI597">
        <v>18</v>
      </c>
      <c r="AJ597">
        <v>0</v>
      </c>
      <c r="AK597">
        <v>3</v>
      </c>
      <c r="AL597" t="s">
        <v>3622</v>
      </c>
      <c r="AM597" t="s">
        <v>3623</v>
      </c>
      <c r="AN597" t="s">
        <v>3624</v>
      </c>
      <c r="AO597" t="s">
        <v>8517</v>
      </c>
      <c r="AP597" t="s">
        <v>8518</v>
      </c>
      <c r="AQ597" t="s">
        <v>74</v>
      </c>
      <c r="AR597" t="s">
        <v>8519</v>
      </c>
      <c r="AS597" t="s">
        <v>8520</v>
      </c>
      <c r="AT597" t="s">
        <v>74</v>
      </c>
      <c r="AU597">
        <v>2004</v>
      </c>
      <c r="AV597">
        <v>277</v>
      </c>
      <c r="AW597" t="s">
        <v>74</v>
      </c>
      <c r="AX597" t="s">
        <v>74</v>
      </c>
      <c r="AY597" t="s">
        <v>74</v>
      </c>
      <c r="AZ597" t="s">
        <v>74</v>
      </c>
      <c r="BA597" t="s">
        <v>74</v>
      </c>
      <c r="BB597">
        <v>209</v>
      </c>
      <c r="BC597">
        <v>220</v>
      </c>
      <c r="BD597" t="s">
        <v>74</v>
      </c>
      <c r="BE597" t="s">
        <v>8672</v>
      </c>
      <c r="BF597" t="str">
        <f>HYPERLINK("http://dx.doi.org/10.3354/meps277209","http://dx.doi.org/10.3354/meps277209")</f>
        <v>http://dx.doi.org/10.3354/meps277209</v>
      </c>
      <c r="BG597" t="s">
        <v>74</v>
      </c>
      <c r="BH597" t="s">
        <v>74</v>
      </c>
      <c r="BI597">
        <v>12</v>
      </c>
      <c r="BJ597" t="s">
        <v>8522</v>
      </c>
      <c r="BK597" t="s">
        <v>96</v>
      </c>
      <c r="BL597" t="s">
        <v>8523</v>
      </c>
      <c r="BM597" t="s">
        <v>8648</v>
      </c>
      <c r="BN597" t="s">
        <v>74</v>
      </c>
      <c r="BO597" t="s">
        <v>541</v>
      </c>
      <c r="BP597" t="s">
        <v>74</v>
      </c>
      <c r="BQ597" t="s">
        <v>74</v>
      </c>
      <c r="BR597" t="s">
        <v>99</v>
      </c>
      <c r="BS597" t="s">
        <v>8673</v>
      </c>
      <c r="BT597" t="str">
        <f>HYPERLINK("https%3A%2F%2Fwww.webofscience.com%2Fwos%2Fwoscc%2Ffull-record%2FWOS:000224095900016","View Full Record in Web of Science")</f>
        <v>View Full Record in Web of Science</v>
      </c>
    </row>
    <row r="598" spans="1:72" x14ac:dyDescent="0.15">
      <c r="A598" t="s">
        <v>72</v>
      </c>
      <c r="B598" t="s">
        <v>8674</v>
      </c>
      <c r="C598" t="s">
        <v>74</v>
      </c>
      <c r="D598" t="s">
        <v>74</v>
      </c>
      <c r="E598" t="s">
        <v>74</v>
      </c>
      <c r="F598" t="s">
        <v>8674</v>
      </c>
      <c r="G598" t="s">
        <v>74</v>
      </c>
      <c r="H598" t="s">
        <v>74</v>
      </c>
      <c r="I598" t="s">
        <v>8675</v>
      </c>
      <c r="J598" t="s">
        <v>8510</v>
      </c>
      <c r="K598" t="s">
        <v>74</v>
      </c>
      <c r="L598" t="s">
        <v>74</v>
      </c>
      <c r="M598" t="s">
        <v>77</v>
      </c>
      <c r="N598" t="s">
        <v>78</v>
      </c>
      <c r="O598" t="s">
        <v>74</v>
      </c>
      <c r="P598" t="s">
        <v>74</v>
      </c>
      <c r="Q598" t="s">
        <v>74</v>
      </c>
      <c r="R598" t="s">
        <v>74</v>
      </c>
      <c r="S598" t="s">
        <v>74</v>
      </c>
      <c r="T598" t="s">
        <v>8676</v>
      </c>
      <c r="U598" t="s">
        <v>8677</v>
      </c>
      <c r="V598" t="s">
        <v>8678</v>
      </c>
      <c r="W598" t="s">
        <v>8679</v>
      </c>
      <c r="X598" t="s">
        <v>8680</v>
      </c>
      <c r="Y598" t="s">
        <v>8681</v>
      </c>
      <c r="Z598" t="s">
        <v>8682</v>
      </c>
      <c r="AA598" t="s">
        <v>8683</v>
      </c>
      <c r="AB598" t="s">
        <v>8684</v>
      </c>
      <c r="AC598" t="s">
        <v>74</v>
      </c>
      <c r="AD598" t="s">
        <v>74</v>
      </c>
      <c r="AE598" t="s">
        <v>74</v>
      </c>
      <c r="AF598" t="s">
        <v>74</v>
      </c>
      <c r="AG598">
        <v>81</v>
      </c>
      <c r="AH598">
        <v>29</v>
      </c>
      <c r="AI598">
        <v>30</v>
      </c>
      <c r="AJ598">
        <v>0</v>
      </c>
      <c r="AK598">
        <v>11</v>
      </c>
      <c r="AL598" t="s">
        <v>3622</v>
      </c>
      <c r="AM598" t="s">
        <v>3623</v>
      </c>
      <c r="AN598" t="s">
        <v>3624</v>
      </c>
      <c r="AO598" t="s">
        <v>8517</v>
      </c>
      <c r="AP598" t="s">
        <v>74</v>
      </c>
      <c r="AQ598" t="s">
        <v>74</v>
      </c>
      <c r="AR598" t="s">
        <v>8519</v>
      </c>
      <c r="AS598" t="s">
        <v>8520</v>
      </c>
      <c r="AT598" t="s">
        <v>74</v>
      </c>
      <c r="AU598">
        <v>2004</v>
      </c>
      <c r="AV598">
        <v>276</v>
      </c>
      <c r="AW598" t="s">
        <v>74</v>
      </c>
      <c r="AX598" t="s">
        <v>74</v>
      </c>
      <c r="AY598" t="s">
        <v>74</v>
      </c>
      <c r="AZ598" t="s">
        <v>74</v>
      </c>
      <c r="BA598" t="s">
        <v>74</v>
      </c>
      <c r="BB598">
        <v>53</v>
      </c>
      <c r="BC598">
        <v>70</v>
      </c>
      <c r="BD598" t="s">
        <v>74</v>
      </c>
      <c r="BE598" t="s">
        <v>8685</v>
      </c>
      <c r="BF598" t="str">
        <f>HYPERLINK("http://dx.doi.org/10.3354/meps276053","http://dx.doi.org/10.3354/meps276053")</f>
        <v>http://dx.doi.org/10.3354/meps276053</v>
      </c>
      <c r="BG598" t="s">
        <v>74</v>
      </c>
      <c r="BH598" t="s">
        <v>74</v>
      </c>
      <c r="BI598">
        <v>18</v>
      </c>
      <c r="BJ598" t="s">
        <v>8522</v>
      </c>
      <c r="BK598" t="s">
        <v>96</v>
      </c>
      <c r="BL598" t="s">
        <v>8523</v>
      </c>
      <c r="BM598" t="s">
        <v>8686</v>
      </c>
      <c r="BN598" t="s">
        <v>74</v>
      </c>
      <c r="BO598" t="s">
        <v>541</v>
      </c>
      <c r="BP598" t="s">
        <v>74</v>
      </c>
      <c r="BQ598" t="s">
        <v>74</v>
      </c>
      <c r="BR598" t="s">
        <v>99</v>
      </c>
      <c r="BS598" t="s">
        <v>8687</v>
      </c>
      <c r="BT598" t="str">
        <f>HYPERLINK("https%3A%2F%2Fwww.webofscience.com%2Fwos%2Fwoscc%2Ffull-record%2FWOS:000223788100006","View Full Record in Web of Science")</f>
        <v>View Full Record in Web of Science</v>
      </c>
    </row>
    <row r="599" spans="1:72" x14ac:dyDescent="0.15">
      <c r="A599" t="s">
        <v>72</v>
      </c>
      <c r="B599" t="s">
        <v>8688</v>
      </c>
      <c r="C599" t="s">
        <v>74</v>
      </c>
      <c r="D599" t="s">
        <v>74</v>
      </c>
      <c r="E599" t="s">
        <v>74</v>
      </c>
      <c r="F599" t="s">
        <v>8688</v>
      </c>
      <c r="G599" t="s">
        <v>74</v>
      </c>
      <c r="H599" t="s">
        <v>74</v>
      </c>
      <c r="I599" t="s">
        <v>8689</v>
      </c>
      <c r="J599" t="s">
        <v>8510</v>
      </c>
      <c r="K599" t="s">
        <v>74</v>
      </c>
      <c r="L599" t="s">
        <v>74</v>
      </c>
      <c r="M599" t="s">
        <v>77</v>
      </c>
      <c r="N599" t="s">
        <v>78</v>
      </c>
      <c r="O599" t="s">
        <v>74</v>
      </c>
      <c r="P599" t="s">
        <v>74</v>
      </c>
      <c r="Q599" t="s">
        <v>74</v>
      </c>
      <c r="R599" t="s">
        <v>74</v>
      </c>
      <c r="S599" t="s">
        <v>74</v>
      </c>
      <c r="T599" t="s">
        <v>8690</v>
      </c>
      <c r="U599" t="s">
        <v>8691</v>
      </c>
      <c r="V599" t="s">
        <v>8692</v>
      </c>
      <c r="W599" t="s">
        <v>8693</v>
      </c>
      <c r="X599" t="s">
        <v>8694</v>
      </c>
      <c r="Y599" t="s">
        <v>8695</v>
      </c>
      <c r="Z599" t="s">
        <v>8514</v>
      </c>
      <c r="AA599" t="s">
        <v>74</v>
      </c>
      <c r="AB599" t="s">
        <v>74</v>
      </c>
      <c r="AC599" t="s">
        <v>74</v>
      </c>
      <c r="AD599" t="s">
        <v>74</v>
      </c>
      <c r="AE599" t="s">
        <v>74</v>
      </c>
      <c r="AF599" t="s">
        <v>74</v>
      </c>
      <c r="AG599">
        <v>63</v>
      </c>
      <c r="AH599">
        <v>13</v>
      </c>
      <c r="AI599">
        <v>15</v>
      </c>
      <c r="AJ599">
        <v>1</v>
      </c>
      <c r="AK599">
        <v>9</v>
      </c>
      <c r="AL599" t="s">
        <v>3622</v>
      </c>
      <c r="AM599" t="s">
        <v>3623</v>
      </c>
      <c r="AN599" t="s">
        <v>3624</v>
      </c>
      <c r="AO599" t="s">
        <v>8517</v>
      </c>
      <c r="AP599" t="s">
        <v>74</v>
      </c>
      <c r="AQ599" t="s">
        <v>74</v>
      </c>
      <c r="AR599" t="s">
        <v>8519</v>
      </c>
      <c r="AS599" t="s">
        <v>8520</v>
      </c>
      <c r="AT599" t="s">
        <v>74</v>
      </c>
      <c r="AU599">
        <v>2004</v>
      </c>
      <c r="AV599">
        <v>275</v>
      </c>
      <c r="AW599" t="s">
        <v>74</v>
      </c>
      <c r="AX599" t="s">
        <v>74</v>
      </c>
      <c r="AY599" t="s">
        <v>74</v>
      </c>
      <c r="AZ599" t="s">
        <v>74</v>
      </c>
      <c r="BA599" t="s">
        <v>74</v>
      </c>
      <c r="BB599">
        <v>21</v>
      </c>
      <c r="BC599">
        <v>32</v>
      </c>
      <c r="BD599" t="s">
        <v>74</v>
      </c>
      <c r="BE599" t="s">
        <v>8696</v>
      </c>
      <c r="BF599" t="str">
        <f>HYPERLINK("http://dx.doi.org/10.3354/meps275021","http://dx.doi.org/10.3354/meps275021")</f>
        <v>http://dx.doi.org/10.3354/meps275021</v>
      </c>
      <c r="BG599" t="s">
        <v>74</v>
      </c>
      <c r="BH599" t="s">
        <v>74</v>
      </c>
      <c r="BI599">
        <v>12</v>
      </c>
      <c r="BJ599" t="s">
        <v>8522</v>
      </c>
      <c r="BK599" t="s">
        <v>96</v>
      </c>
      <c r="BL599" t="s">
        <v>8523</v>
      </c>
      <c r="BM599" t="s">
        <v>8697</v>
      </c>
      <c r="BN599" t="s">
        <v>74</v>
      </c>
      <c r="BO599" t="s">
        <v>541</v>
      </c>
      <c r="BP599" t="s">
        <v>74</v>
      </c>
      <c r="BQ599" t="s">
        <v>74</v>
      </c>
      <c r="BR599" t="s">
        <v>99</v>
      </c>
      <c r="BS599" t="s">
        <v>8698</v>
      </c>
      <c r="BT599" t="str">
        <f>HYPERLINK("https%3A%2F%2Fwww.webofscience.com%2Fwos%2Fwoscc%2Ffull-record%2FWOS:000223426100003","View Full Record in Web of Science")</f>
        <v>View Full Record in Web of Science</v>
      </c>
    </row>
    <row r="600" spans="1:72" x14ac:dyDescent="0.15">
      <c r="A600" t="s">
        <v>72</v>
      </c>
      <c r="B600" t="s">
        <v>2915</v>
      </c>
      <c r="C600" t="s">
        <v>74</v>
      </c>
      <c r="D600" t="s">
        <v>74</v>
      </c>
      <c r="E600" t="s">
        <v>74</v>
      </c>
      <c r="F600" t="s">
        <v>2915</v>
      </c>
      <c r="G600" t="s">
        <v>74</v>
      </c>
      <c r="H600" t="s">
        <v>74</v>
      </c>
      <c r="I600" t="s">
        <v>8699</v>
      </c>
      <c r="J600" t="s">
        <v>8510</v>
      </c>
      <c r="K600" t="s">
        <v>74</v>
      </c>
      <c r="L600" t="s">
        <v>74</v>
      </c>
      <c r="M600" t="s">
        <v>77</v>
      </c>
      <c r="N600" t="s">
        <v>78</v>
      </c>
      <c r="O600" t="s">
        <v>74</v>
      </c>
      <c r="P600" t="s">
        <v>74</v>
      </c>
      <c r="Q600" t="s">
        <v>74</v>
      </c>
      <c r="R600" t="s">
        <v>74</v>
      </c>
      <c r="S600" t="s">
        <v>74</v>
      </c>
      <c r="T600" t="s">
        <v>8700</v>
      </c>
      <c r="U600" t="s">
        <v>8701</v>
      </c>
      <c r="V600" t="s">
        <v>8702</v>
      </c>
      <c r="W600" t="s">
        <v>8703</v>
      </c>
      <c r="X600" t="s">
        <v>2921</v>
      </c>
      <c r="Y600" t="s">
        <v>8704</v>
      </c>
      <c r="Z600" t="s">
        <v>2923</v>
      </c>
      <c r="AA600" t="s">
        <v>74</v>
      </c>
      <c r="AB600" t="s">
        <v>74</v>
      </c>
      <c r="AC600" t="s">
        <v>74</v>
      </c>
      <c r="AD600" t="s">
        <v>74</v>
      </c>
      <c r="AE600" t="s">
        <v>74</v>
      </c>
      <c r="AF600" t="s">
        <v>74</v>
      </c>
      <c r="AG600">
        <v>41</v>
      </c>
      <c r="AH600">
        <v>44</v>
      </c>
      <c r="AI600">
        <v>49</v>
      </c>
      <c r="AJ600">
        <v>0</v>
      </c>
      <c r="AK600">
        <v>15</v>
      </c>
      <c r="AL600" t="s">
        <v>3622</v>
      </c>
      <c r="AM600" t="s">
        <v>3623</v>
      </c>
      <c r="AN600" t="s">
        <v>3624</v>
      </c>
      <c r="AO600" t="s">
        <v>8517</v>
      </c>
      <c r="AP600" t="s">
        <v>74</v>
      </c>
      <c r="AQ600" t="s">
        <v>74</v>
      </c>
      <c r="AR600" t="s">
        <v>8519</v>
      </c>
      <c r="AS600" t="s">
        <v>8520</v>
      </c>
      <c r="AT600" t="s">
        <v>74</v>
      </c>
      <c r="AU600">
        <v>2004</v>
      </c>
      <c r="AV600">
        <v>275</v>
      </c>
      <c r="AW600" t="s">
        <v>74</v>
      </c>
      <c r="AX600" t="s">
        <v>74</v>
      </c>
      <c r="AY600" t="s">
        <v>74</v>
      </c>
      <c r="AZ600" t="s">
        <v>74</v>
      </c>
      <c r="BA600" t="s">
        <v>74</v>
      </c>
      <c r="BB600">
        <v>241</v>
      </c>
      <c r="BC600">
        <v>249</v>
      </c>
      <c r="BD600" t="s">
        <v>74</v>
      </c>
      <c r="BE600" t="s">
        <v>8705</v>
      </c>
      <c r="BF600" t="str">
        <f>HYPERLINK("http://dx.doi.org/10.3354/meps275241","http://dx.doi.org/10.3354/meps275241")</f>
        <v>http://dx.doi.org/10.3354/meps275241</v>
      </c>
      <c r="BG600" t="s">
        <v>74</v>
      </c>
      <c r="BH600" t="s">
        <v>74</v>
      </c>
      <c r="BI600">
        <v>9</v>
      </c>
      <c r="BJ600" t="s">
        <v>8522</v>
      </c>
      <c r="BK600" t="s">
        <v>96</v>
      </c>
      <c r="BL600" t="s">
        <v>8523</v>
      </c>
      <c r="BM600" t="s">
        <v>8697</v>
      </c>
      <c r="BN600" t="s">
        <v>74</v>
      </c>
      <c r="BO600" t="s">
        <v>817</v>
      </c>
      <c r="BP600" t="s">
        <v>74</v>
      </c>
      <c r="BQ600" t="s">
        <v>74</v>
      </c>
      <c r="BR600" t="s">
        <v>99</v>
      </c>
      <c r="BS600" t="s">
        <v>8706</v>
      </c>
      <c r="BT600" t="str">
        <f>HYPERLINK("https%3A%2F%2Fwww.webofscience.com%2Fwos%2Fwoscc%2Ffull-record%2FWOS:000223426100023","View Full Record in Web of Science")</f>
        <v>View Full Record in Web of Science</v>
      </c>
    </row>
    <row r="601" spans="1:72" x14ac:dyDescent="0.15">
      <c r="A601" t="s">
        <v>72</v>
      </c>
      <c r="B601" t="s">
        <v>8707</v>
      </c>
      <c r="C601" t="s">
        <v>74</v>
      </c>
      <c r="D601" t="s">
        <v>74</v>
      </c>
      <c r="E601" t="s">
        <v>74</v>
      </c>
      <c r="F601" t="s">
        <v>8707</v>
      </c>
      <c r="G601" t="s">
        <v>74</v>
      </c>
      <c r="H601" t="s">
        <v>74</v>
      </c>
      <c r="I601" t="s">
        <v>8708</v>
      </c>
      <c r="J601" t="s">
        <v>8510</v>
      </c>
      <c r="K601" t="s">
        <v>74</v>
      </c>
      <c r="L601" t="s">
        <v>74</v>
      </c>
      <c r="M601" t="s">
        <v>77</v>
      </c>
      <c r="N601" t="s">
        <v>78</v>
      </c>
      <c r="O601" t="s">
        <v>74</v>
      </c>
      <c r="P601" t="s">
        <v>74</v>
      </c>
      <c r="Q601" t="s">
        <v>74</v>
      </c>
      <c r="R601" t="s">
        <v>74</v>
      </c>
      <c r="S601" t="s">
        <v>74</v>
      </c>
      <c r="T601" t="s">
        <v>8709</v>
      </c>
      <c r="U601" t="s">
        <v>8710</v>
      </c>
      <c r="V601" t="s">
        <v>8711</v>
      </c>
      <c r="W601" t="s">
        <v>8712</v>
      </c>
      <c r="X601" t="s">
        <v>8713</v>
      </c>
      <c r="Y601" t="s">
        <v>83</v>
      </c>
      <c r="Z601" t="s">
        <v>8714</v>
      </c>
      <c r="AA601" t="s">
        <v>8715</v>
      </c>
      <c r="AB601" t="s">
        <v>8716</v>
      </c>
      <c r="AC601" t="s">
        <v>74</v>
      </c>
      <c r="AD601" t="s">
        <v>74</v>
      </c>
      <c r="AE601" t="s">
        <v>74</v>
      </c>
      <c r="AF601" t="s">
        <v>74</v>
      </c>
      <c r="AG601">
        <v>44</v>
      </c>
      <c r="AH601">
        <v>64</v>
      </c>
      <c r="AI601">
        <v>71</v>
      </c>
      <c r="AJ601">
        <v>1</v>
      </c>
      <c r="AK601">
        <v>19</v>
      </c>
      <c r="AL601" t="s">
        <v>3622</v>
      </c>
      <c r="AM601" t="s">
        <v>3623</v>
      </c>
      <c r="AN601" t="s">
        <v>3624</v>
      </c>
      <c r="AO601" t="s">
        <v>8517</v>
      </c>
      <c r="AP601" t="s">
        <v>8518</v>
      </c>
      <c r="AQ601" t="s">
        <v>74</v>
      </c>
      <c r="AR601" t="s">
        <v>8519</v>
      </c>
      <c r="AS601" t="s">
        <v>8520</v>
      </c>
      <c r="AT601" t="s">
        <v>74</v>
      </c>
      <c r="AU601">
        <v>2004</v>
      </c>
      <c r="AV601">
        <v>275</v>
      </c>
      <c r="AW601" t="s">
        <v>74</v>
      </c>
      <c r="AX601" t="s">
        <v>74</v>
      </c>
      <c r="AY601" t="s">
        <v>74</v>
      </c>
      <c r="AZ601" t="s">
        <v>74</v>
      </c>
      <c r="BA601" t="s">
        <v>74</v>
      </c>
      <c r="BB601">
        <v>263</v>
      </c>
      <c r="BC601">
        <v>274</v>
      </c>
      <c r="BD601" t="s">
        <v>74</v>
      </c>
      <c r="BE601" t="s">
        <v>8717</v>
      </c>
      <c r="BF601" t="str">
        <f>HYPERLINK("http://dx.doi.org/10.3354/meps275263","http://dx.doi.org/10.3354/meps275263")</f>
        <v>http://dx.doi.org/10.3354/meps275263</v>
      </c>
      <c r="BG601" t="s">
        <v>74</v>
      </c>
      <c r="BH601" t="s">
        <v>74</v>
      </c>
      <c r="BI601">
        <v>12</v>
      </c>
      <c r="BJ601" t="s">
        <v>8522</v>
      </c>
      <c r="BK601" t="s">
        <v>96</v>
      </c>
      <c r="BL601" t="s">
        <v>8523</v>
      </c>
      <c r="BM601" t="s">
        <v>8697</v>
      </c>
      <c r="BN601" t="s">
        <v>74</v>
      </c>
      <c r="BO601" t="s">
        <v>541</v>
      </c>
      <c r="BP601" t="s">
        <v>74</v>
      </c>
      <c r="BQ601" t="s">
        <v>74</v>
      </c>
      <c r="BR601" t="s">
        <v>99</v>
      </c>
      <c r="BS601" t="s">
        <v>8718</v>
      </c>
      <c r="BT601" t="str">
        <f>HYPERLINK("https%3A%2F%2Fwww.webofscience.com%2Fwos%2Fwoscc%2Ffull-record%2FWOS:000223426100025","View Full Record in Web of Science")</f>
        <v>View Full Record in Web of Science</v>
      </c>
    </row>
    <row r="602" spans="1:72" x14ac:dyDescent="0.15">
      <c r="A602" t="s">
        <v>72</v>
      </c>
      <c r="B602" t="s">
        <v>8719</v>
      </c>
      <c r="C602" t="s">
        <v>74</v>
      </c>
      <c r="D602" t="s">
        <v>74</v>
      </c>
      <c r="E602" t="s">
        <v>74</v>
      </c>
      <c r="F602" t="s">
        <v>8719</v>
      </c>
      <c r="G602" t="s">
        <v>74</v>
      </c>
      <c r="H602" t="s">
        <v>74</v>
      </c>
      <c r="I602" t="s">
        <v>8720</v>
      </c>
      <c r="J602" t="s">
        <v>8510</v>
      </c>
      <c r="K602" t="s">
        <v>74</v>
      </c>
      <c r="L602" t="s">
        <v>74</v>
      </c>
      <c r="M602" t="s">
        <v>77</v>
      </c>
      <c r="N602" t="s">
        <v>78</v>
      </c>
      <c r="O602" t="s">
        <v>74</v>
      </c>
      <c r="P602" t="s">
        <v>74</v>
      </c>
      <c r="Q602" t="s">
        <v>74</v>
      </c>
      <c r="R602" t="s">
        <v>74</v>
      </c>
      <c r="S602" t="s">
        <v>74</v>
      </c>
      <c r="T602" t="s">
        <v>8721</v>
      </c>
      <c r="U602" t="s">
        <v>8722</v>
      </c>
      <c r="V602" t="s">
        <v>8723</v>
      </c>
      <c r="W602" t="s">
        <v>8724</v>
      </c>
      <c r="X602" t="s">
        <v>8725</v>
      </c>
      <c r="Y602" t="s">
        <v>2464</v>
      </c>
      <c r="Z602" t="s">
        <v>8726</v>
      </c>
      <c r="AA602" t="s">
        <v>8727</v>
      </c>
      <c r="AB602" t="s">
        <v>8728</v>
      </c>
      <c r="AC602" t="s">
        <v>74</v>
      </c>
      <c r="AD602" t="s">
        <v>74</v>
      </c>
      <c r="AE602" t="s">
        <v>74</v>
      </c>
      <c r="AF602" t="s">
        <v>74</v>
      </c>
      <c r="AG602">
        <v>49</v>
      </c>
      <c r="AH602">
        <v>63</v>
      </c>
      <c r="AI602">
        <v>71</v>
      </c>
      <c r="AJ602">
        <v>0</v>
      </c>
      <c r="AK602">
        <v>18</v>
      </c>
      <c r="AL602" t="s">
        <v>3622</v>
      </c>
      <c r="AM602" t="s">
        <v>3623</v>
      </c>
      <c r="AN602" t="s">
        <v>3624</v>
      </c>
      <c r="AO602" t="s">
        <v>8517</v>
      </c>
      <c r="AP602" t="s">
        <v>8518</v>
      </c>
      <c r="AQ602" t="s">
        <v>74</v>
      </c>
      <c r="AR602" t="s">
        <v>8519</v>
      </c>
      <c r="AS602" t="s">
        <v>8520</v>
      </c>
      <c r="AT602" t="s">
        <v>74</v>
      </c>
      <c r="AU602">
        <v>2004</v>
      </c>
      <c r="AV602">
        <v>275</v>
      </c>
      <c r="AW602" t="s">
        <v>74</v>
      </c>
      <c r="AX602" t="s">
        <v>74</v>
      </c>
      <c r="AY602" t="s">
        <v>74</v>
      </c>
      <c r="AZ602" t="s">
        <v>74</v>
      </c>
      <c r="BA602" t="s">
        <v>74</v>
      </c>
      <c r="BB602">
        <v>275</v>
      </c>
      <c r="BC602">
        <v>287</v>
      </c>
      <c r="BD602" t="s">
        <v>74</v>
      </c>
      <c r="BE602" t="s">
        <v>8729</v>
      </c>
      <c r="BF602" t="str">
        <f>HYPERLINK("http://dx.doi.org/10.3354/meps275275","http://dx.doi.org/10.3354/meps275275")</f>
        <v>http://dx.doi.org/10.3354/meps275275</v>
      </c>
      <c r="BG602" t="s">
        <v>74</v>
      </c>
      <c r="BH602" t="s">
        <v>74</v>
      </c>
      <c r="BI602">
        <v>13</v>
      </c>
      <c r="BJ602" t="s">
        <v>8522</v>
      </c>
      <c r="BK602" t="s">
        <v>96</v>
      </c>
      <c r="BL602" t="s">
        <v>8523</v>
      </c>
      <c r="BM602" t="s">
        <v>8697</v>
      </c>
      <c r="BN602" t="s">
        <v>74</v>
      </c>
      <c r="BO602" t="s">
        <v>541</v>
      </c>
      <c r="BP602" t="s">
        <v>74</v>
      </c>
      <c r="BQ602" t="s">
        <v>74</v>
      </c>
      <c r="BR602" t="s">
        <v>99</v>
      </c>
      <c r="BS602" t="s">
        <v>8730</v>
      </c>
      <c r="BT602" t="str">
        <f>HYPERLINK("https%3A%2F%2Fwww.webofscience.com%2Fwos%2Fwoscc%2Ffull-record%2FWOS:000223426100026","View Full Record in Web of Science")</f>
        <v>View Full Record in Web of Science</v>
      </c>
    </row>
    <row r="603" spans="1:72" x14ac:dyDescent="0.15">
      <c r="A603" t="s">
        <v>72</v>
      </c>
      <c r="B603" t="s">
        <v>8731</v>
      </c>
      <c r="C603" t="s">
        <v>74</v>
      </c>
      <c r="D603" t="s">
        <v>74</v>
      </c>
      <c r="E603" t="s">
        <v>74</v>
      </c>
      <c r="F603" t="s">
        <v>8731</v>
      </c>
      <c r="G603" t="s">
        <v>74</v>
      </c>
      <c r="H603" t="s">
        <v>74</v>
      </c>
      <c r="I603" t="s">
        <v>8732</v>
      </c>
      <c r="J603" t="s">
        <v>8510</v>
      </c>
      <c r="K603" t="s">
        <v>74</v>
      </c>
      <c r="L603" t="s">
        <v>74</v>
      </c>
      <c r="M603" t="s">
        <v>77</v>
      </c>
      <c r="N603" t="s">
        <v>268</v>
      </c>
      <c r="O603" t="s">
        <v>74</v>
      </c>
      <c r="P603" t="s">
        <v>74</v>
      </c>
      <c r="Q603" t="s">
        <v>74</v>
      </c>
      <c r="R603" t="s">
        <v>74</v>
      </c>
      <c r="S603" t="s">
        <v>74</v>
      </c>
      <c r="T603" t="s">
        <v>8733</v>
      </c>
      <c r="U603" t="s">
        <v>8734</v>
      </c>
      <c r="V603" t="s">
        <v>8735</v>
      </c>
      <c r="W603" t="s">
        <v>8736</v>
      </c>
      <c r="X603" t="s">
        <v>8737</v>
      </c>
      <c r="Y603" t="s">
        <v>8738</v>
      </c>
      <c r="Z603" t="s">
        <v>8739</v>
      </c>
      <c r="AA603" t="s">
        <v>74</v>
      </c>
      <c r="AB603" t="s">
        <v>74</v>
      </c>
      <c r="AC603" t="s">
        <v>74</v>
      </c>
      <c r="AD603" t="s">
        <v>74</v>
      </c>
      <c r="AE603" t="s">
        <v>74</v>
      </c>
      <c r="AF603" t="s">
        <v>74</v>
      </c>
      <c r="AG603">
        <v>126</v>
      </c>
      <c r="AH603">
        <v>101</v>
      </c>
      <c r="AI603">
        <v>112</v>
      </c>
      <c r="AJ603">
        <v>3</v>
      </c>
      <c r="AK603">
        <v>40</v>
      </c>
      <c r="AL603" t="s">
        <v>3622</v>
      </c>
      <c r="AM603" t="s">
        <v>3623</v>
      </c>
      <c r="AN603" t="s">
        <v>3624</v>
      </c>
      <c r="AO603" t="s">
        <v>8517</v>
      </c>
      <c r="AP603" t="s">
        <v>8518</v>
      </c>
      <c r="AQ603" t="s">
        <v>74</v>
      </c>
      <c r="AR603" t="s">
        <v>8519</v>
      </c>
      <c r="AS603" t="s">
        <v>8520</v>
      </c>
      <c r="AT603" t="s">
        <v>74</v>
      </c>
      <c r="AU603">
        <v>2004</v>
      </c>
      <c r="AV603">
        <v>273</v>
      </c>
      <c r="AW603" t="s">
        <v>74</v>
      </c>
      <c r="AX603" t="s">
        <v>74</v>
      </c>
      <c r="AY603" t="s">
        <v>74</v>
      </c>
      <c r="AZ603" t="s">
        <v>74</v>
      </c>
      <c r="BA603" t="s">
        <v>74</v>
      </c>
      <c r="BB603">
        <v>65</v>
      </c>
      <c r="BC603">
        <v>79</v>
      </c>
      <c r="BD603" t="s">
        <v>74</v>
      </c>
      <c r="BE603" t="s">
        <v>8740</v>
      </c>
      <c r="BF603" t="str">
        <f>HYPERLINK("http://dx.doi.org/10.3354/meps273065","http://dx.doi.org/10.3354/meps273065")</f>
        <v>http://dx.doi.org/10.3354/meps273065</v>
      </c>
      <c r="BG603" t="s">
        <v>74</v>
      </c>
      <c r="BH603" t="s">
        <v>74</v>
      </c>
      <c r="BI603">
        <v>15</v>
      </c>
      <c r="BJ603" t="s">
        <v>8522</v>
      </c>
      <c r="BK603" t="s">
        <v>96</v>
      </c>
      <c r="BL603" t="s">
        <v>8523</v>
      </c>
      <c r="BM603" t="s">
        <v>8741</v>
      </c>
      <c r="BN603" t="s">
        <v>74</v>
      </c>
      <c r="BO603" t="s">
        <v>541</v>
      </c>
      <c r="BP603" t="s">
        <v>74</v>
      </c>
      <c r="BQ603" t="s">
        <v>74</v>
      </c>
      <c r="BR603" t="s">
        <v>99</v>
      </c>
      <c r="BS603" t="s">
        <v>8742</v>
      </c>
      <c r="BT603" t="str">
        <f>HYPERLINK("https%3A%2F%2Fwww.webofscience.com%2Fwos%2Fwoscc%2Ffull-record%2FWOS:000222691100006","View Full Record in Web of Science")</f>
        <v>View Full Record in Web of Science</v>
      </c>
    </row>
    <row r="604" spans="1:72" x14ac:dyDescent="0.15">
      <c r="A604" t="s">
        <v>72</v>
      </c>
      <c r="B604" t="s">
        <v>8743</v>
      </c>
      <c r="C604" t="s">
        <v>74</v>
      </c>
      <c r="D604" t="s">
        <v>74</v>
      </c>
      <c r="E604" t="s">
        <v>74</v>
      </c>
      <c r="F604" t="s">
        <v>8743</v>
      </c>
      <c r="G604" t="s">
        <v>74</v>
      </c>
      <c r="H604" t="s">
        <v>74</v>
      </c>
      <c r="I604" t="s">
        <v>8744</v>
      </c>
      <c r="J604" t="s">
        <v>8510</v>
      </c>
      <c r="K604" t="s">
        <v>74</v>
      </c>
      <c r="L604" t="s">
        <v>74</v>
      </c>
      <c r="M604" t="s">
        <v>77</v>
      </c>
      <c r="N604" t="s">
        <v>78</v>
      </c>
      <c r="O604" t="s">
        <v>74</v>
      </c>
      <c r="P604" t="s">
        <v>74</v>
      </c>
      <c r="Q604" t="s">
        <v>74</v>
      </c>
      <c r="R604" t="s">
        <v>74</v>
      </c>
      <c r="S604" t="s">
        <v>74</v>
      </c>
      <c r="T604" t="s">
        <v>8745</v>
      </c>
      <c r="U604" t="s">
        <v>8746</v>
      </c>
      <c r="V604" t="s">
        <v>8747</v>
      </c>
      <c r="W604" t="s">
        <v>8748</v>
      </c>
      <c r="X604" t="s">
        <v>8749</v>
      </c>
      <c r="Y604" t="s">
        <v>8750</v>
      </c>
      <c r="Z604" t="s">
        <v>8751</v>
      </c>
      <c r="AA604" t="s">
        <v>8752</v>
      </c>
      <c r="AB604" t="s">
        <v>8753</v>
      </c>
      <c r="AC604" t="s">
        <v>74</v>
      </c>
      <c r="AD604" t="s">
        <v>74</v>
      </c>
      <c r="AE604" t="s">
        <v>74</v>
      </c>
      <c r="AF604" t="s">
        <v>74</v>
      </c>
      <c r="AG604">
        <v>67</v>
      </c>
      <c r="AH604">
        <v>83</v>
      </c>
      <c r="AI604">
        <v>93</v>
      </c>
      <c r="AJ604">
        <v>1</v>
      </c>
      <c r="AK604">
        <v>18</v>
      </c>
      <c r="AL604" t="s">
        <v>3622</v>
      </c>
      <c r="AM604" t="s">
        <v>3623</v>
      </c>
      <c r="AN604" t="s">
        <v>3624</v>
      </c>
      <c r="AO604" t="s">
        <v>8517</v>
      </c>
      <c r="AP604" t="s">
        <v>8518</v>
      </c>
      <c r="AQ604" t="s">
        <v>74</v>
      </c>
      <c r="AR604" t="s">
        <v>8519</v>
      </c>
      <c r="AS604" t="s">
        <v>8520</v>
      </c>
      <c r="AT604" t="s">
        <v>74</v>
      </c>
      <c r="AU604">
        <v>2004</v>
      </c>
      <c r="AV604">
        <v>273</v>
      </c>
      <c r="AW604" t="s">
        <v>74</v>
      </c>
      <c r="AX604" t="s">
        <v>74</v>
      </c>
      <c r="AY604" t="s">
        <v>74</v>
      </c>
      <c r="AZ604" t="s">
        <v>74</v>
      </c>
      <c r="BA604" t="s">
        <v>74</v>
      </c>
      <c r="BB604">
        <v>211</v>
      </c>
      <c r="BC604">
        <v>225</v>
      </c>
      <c r="BD604" t="s">
        <v>74</v>
      </c>
      <c r="BE604" t="s">
        <v>8754</v>
      </c>
      <c r="BF604" t="str">
        <f>HYPERLINK("http://dx.doi.org/10.3354/meps273211","http://dx.doi.org/10.3354/meps273211")</f>
        <v>http://dx.doi.org/10.3354/meps273211</v>
      </c>
      <c r="BG604" t="s">
        <v>74</v>
      </c>
      <c r="BH604" t="s">
        <v>74</v>
      </c>
      <c r="BI604">
        <v>15</v>
      </c>
      <c r="BJ604" t="s">
        <v>8522</v>
      </c>
      <c r="BK604" t="s">
        <v>96</v>
      </c>
      <c r="BL604" t="s">
        <v>8523</v>
      </c>
      <c r="BM604" t="s">
        <v>8741</v>
      </c>
      <c r="BN604" t="s">
        <v>74</v>
      </c>
      <c r="BO604" t="s">
        <v>541</v>
      </c>
      <c r="BP604" t="s">
        <v>74</v>
      </c>
      <c r="BQ604" t="s">
        <v>74</v>
      </c>
      <c r="BR604" t="s">
        <v>99</v>
      </c>
      <c r="BS604" t="s">
        <v>8755</v>
      </c>
      <c r="BT604" t="str">
        <f>HYPERLINK("https%3A%2F%2Fwww.webofscience.com%2Fwos%2Fwoscc%2Ffull-record%2FWOS:000222691100018","View Full Record in Web of Science")</f>
        <v>View Full Record in Web of Science</v>
      </c>
    </row>
    <row r="605" spans="1:72" x14ac:dyDescent="0.15">
      <c r="A605" t="s">
        <v>72</v>
      </c>
      <c r="B605" t="s">
        <v>8756</v>
      </c>
      <c r="C605" t="s">
        <v>74</v>
      </c>
      <c r="D605" t="s">
        <v>74</v>
      </c>
      <c r="E605" t="s">
        <v>74</v>
      </c>
      <c r="F605" t="s">
        <v>8756</v>
      </c>
      <c r="G605" t="s">
        <v>74</v>
      </c>
      <c r="H605" t="s">
        <v>74</v>
      </c>
      <c r="I605" t="s">
        <v>8757</v>
      </c>
      <c r="J605" t="s">
        <v>8510</v>
      </c>
      <c r="K605" t="s">
        <v>74</v>
      </c>
      <c r="L605" t="s">
        <v>74</v>
      </c>
      <c r="M605" t="s">
        <v>77</v>
      </c>
      <c r="N605" t="s">
        <v>78</v>
      </c>
      <c r="O605" t="s">
        <v>74</v>
      </c>
      <c r="P605" t="s">
        <v>74</v>
      </c>
      <c r="Q605" t="s">
        <v>74</v>
      </c>
      <c r="R605" t="s">
        <v>74</v>
      </c>
      <c r="S605" t="s">
        <v>74</v>
      </c>
      <c r="T605" t="s">
        <v>8758</v>
      </c>
      <c r="U605" t="s">
        <v>8759</v>
      </c>
      <c r="V605" t="s">
        <v>8760</v>
      </c>
      <c r="W605" t="s">
        <v>8761</v>
      </c>
      <c r="X605" t="s">
        <v>8762</v>
      </c>
      <c r="Y605" t="s">
        <v>8763</v>
      </c>
      <c r="Z605" t="s">
        <v>8764</v>
      </c>
      <c r="AA605" t="s">
        <v>74</v>
      </c>
      <c r="AB605" t="s">
        <v>8765</v>
      </c>
      <c r="AC605" t="s">
        <v>74</v>
      </c>
      <c r="AD605" t="s">
        <v>74</v>
      </c>
      <c r="AE605" t="s">
        <v>74</v>
      </c>
      <c r="AF605" t="s">
        <v>74</v>
      </c>
      <c r="AG605">
        <v>47</v>
      </c>
      <c r="AH605">
        <v>28</v>
      </c>
      <c r="AI605">
        <v>33</v>
      </c>
      <c r="AJ605">
        <v>0</v>
      </c>
      <c r="AK605">
        <v>8</v>
      </c>
      <c r="AL605" t="s">
        <v>3622</v>
      </c>
      <c r="AM605" t="s">
        <v>3623</v>
      </c>
      <c r="AN605" t="s">
        <v>3624</v>
      </c>
      <c r="AO605" t="s">
        <v>8517</v>
      </c>
      <c r="AP605" t="s">
        <v>74</v>
      </c>
      <c r="AQ605" t="s">
        <v>74</v>
      </c>
      <c r="AR605" t="s">
        <v>8519</v>
      </c>
      <c r="AS605" t="s">
        <v>8520</v>
      </c>
      <c r="AT605" t="s">
        <v>74</v>
      </c>
      <c r="AU605">
        <v>2004</v>
      </c>
      <c r="AV605">
        <v>272</v>
      </c>
      <c r="AW605" t="s">
        <v>74</v>
      </c>
      <c r="AX605" t="s">
        <v>74</v>
      </c>
      <c r="AY605" t="s">
        <v>74</v>
      </c>
      <c r="AZ605" t="s">
        <v>74</v>
      </c>
      <c r="BA605" t="s">
        <v>74</v>
      </c>
      <c r="BB605">
        <v>131</v>
      </c>
      <c r="BC605">
        <v>140</v>
      </c>
      <c r="BD605" t="s">
        <v>74</v>
      </c>
      <c r="BE605" t="s">
        <v>8766</v>
      </c>
      <c r="BF605" t="str">
        <f>HYPERLINK("http://dx.doi.org/10.3354/meps272131","http://dx.doi.org/10.3354/meps272131")</f>
        <v>http://dx.doi.org/10.3354/meps272131</v>
      </c>
      <c r="BG605" t="s">
        <v>74</v>
      </c>
      <c r="BH605" t="s">
        <v>74</v>
      </c>
      <c r="BI605">
        <v>10</v>
      </c>
      <c r="BJ605" t="s">
        <v>8522</v>
      </c>
      <c r="BK605" t="s">
        <v>96</v>
      </c>
      <c r="BL605" t="s">
        <v>8523</v>
      </c>
      <c r="BM605" t="s">
        <v>8767</v>
      </c>
      <c r="BN605" t="s">
        <v>74</v>
      </c>
      <c r="BO605" t="s">
        <v>541</v>
      </c>
      <c r="BP605" t="s">
        <v>74</v>
      </c>
      <c r="BQ605" t="s">
        <v>74</v>
      </c>
      <c r="BR605" t="s">
        <v>99</v>
      </c>
      <c r="BS605" t="s">
        <v>8768</v>
      </c>
      <c r="BT605" t="str">
        <f>HYPERLINK("https%3A%2F%2Fwww.webofscience.com%2Fwos%2Fwoscc%2Ffull-record%2FWOS:000222526900011","View Full Record in Web of Science")</f>
        <v>View Full Record in Web of Science</v>
      </c>
    </row>
    <row r="606" spans="1:72" x14ac:dyDescent="0.15">
      <c r="A606" t="s">
        <v>72</v>
      </c>
      <c r="B606" t="s">
        <v>8769</v>
      </c>
      <c r="C606" t="s">
        <v>74</v>
      </c>
      <c r="D606" t="s">
        <v>74</v>
      </c>
      <c r="E606" t="s">
        <v>74</v>
      </c>
      <c r="F606" t="s">
        <v>8769</v>
      </c>
      <c r="G606" t="s">
        <v>74</v>
      </c>
      <c r="H606" t="s">
        <v>74</v>
      </c>
      <c r="I606" t="s">
        <v>8770</v>
      </c>
      <c r="J606" t="s">
        <v>8510</v>
      </c>
      <c r="K606" t="s">
        <v>74</v>
      </c>
      <c r="L606" t="s">
        <v>74</v>
      </c>
      <c r="M606" t="s">
        <v>77</v>
      </c>
      <c r="N606" t="s">
        <v>78</v>
      </c>
      <c r="O606" t="s">
        <v>74</v>
      </c>
      <c r="P606" t="s">
        <v>74</v>
      </c>
      <c r="Q606" t="s">
        <v>74</v>
      </c>
      <c r="R606" t="s">
        <v>74</v>
      </c>
      <c r="S606" t="s">
        <v>74</v>
      </c>
      <c r="T606" t="s">
        <v>8771</v>
      </c>
      <c r="U606" t="s">
        <v>8772</v>
      </c>
      <c r="V606" t="s">
        <v>8773</v>
      </c>
      <c r="W606" t="s">
        <v>81</v>
      </c>
      <c r="X606" t="s">
        <v>82</v>
      </c>
      <c r="Y606" t="s">
        <v>83</v>
      </c>
      <c r="Z606" t="s">
        <v>8774</v>
      </c>
      <c r="AA606" t="s">
        <v>8775</v>
      </c>
      <c r="AB606" t="s">
        <v>8607</v>
      </c>
      <c r="AC606" t="s">
        <v>74</v>
      </c>
      <c r="AD606" t="s">
        <v>74</v>
      </c>
      <c r="AE606" t="s">
        <v>74</v>
      </c>
      <c r="AF606" t="s">
        <v>74</v>
      </c>
      <c r="AG606">
        <v>29</v>
      </c>
      <c r="AH606">
        <v>28</v>
      </c>
      <c r="AI606">
        <v>29</v>
      </c>
      <c r="AJ606">
        <v>0</v>
      </c>
      <c r="AK606">
        <v>12</v>
      </c>
      <c r="AL606" t="s">
        <v>3622</v>
      </c>
      <c r="AM606" t="s">
        <v>3623</v>
      </c>
      <c r="AN606" t="s">
        <v>3624</v>
      </c>
      <c r="AO606" t="s">
        <v>8517</v>
      </c>
      <c r="AP606" t="s">
        <v>8518</v>
      </c>
      <c r="AQ606" t="s">
        <v>74</v>
      </c>
      <c r="AR606" t="s">
        <v>8519</v>
      </c>
      <c r="AS606" t="s">
        <v>8520</v>
      </c>
      <c r="AT606" t="s">
        <v>74</v>
      </c>
      <c r="AU606">
        <v>2004</v>
      </c>
      <c r="AV606">
        <v>272</v>
      </c>
      <c r="AW606" t="s">
        <v>74</v>
      </c>
      <c r="AX606" t="s">
        <v>74</v>
      </c>
      <c r="AY606" t="s">
        <v>74</v>
      </c>
      <c r="AZ606" t="s">
        <v>74</v>
      </c>
      <c r="BA606" t="s">
        <v>74</v>
      </c>
      <c r="BB606">
        <v>165</v>
      </c>
      <c r="BC606">
        <v>181</v>
      </c>
      <c r="BD606" t="s">
        <v>74</v>
      </c>
      <c r="BE606" t="s">
        <v>8776</v>
      </c>
      <c r="BF606" t="str">
        <f>HYPERLINK("http://dx.doi.org/10.3354/meps272165","http://dx.doi.org/10.3354/meps272165")</f>
        <v>http://dx.doi.org/10.3354/meps272165</v>
      </c>
      <c r="BG606" t="s">
        <v>74</v>
      </c>
      <c r="BH606" t="s">
        <v>74</v>
      </c>
      <c r="BI606">
        <v>17</v>
      </c>
      <c r="BJ606" t="s">
        <v>8522</v>
      </c>
      <c r="BK606" t="s">
        <v>96</v>
      </c>
      <c r="BL606" t="s">
        <v>8523</v>
      </c>
      <c r="BM606" t="s">
        <v>8767</v>
      </c>
      <c r="BN606" t="s">
        <v>74</v>
      </c>
      <c r="BO606" t="s">
        <v>541</v>
      </c>
      <c r="BP606" t="s">
        <v>74</v>
      </c>
      <c r="BQ606" t="s">
        <v>74</v>
      </c>
      <c r="BR606" t="s">
        <v>99</v>
      </c>
      <c r="BS606" t="s">
        <v>8777</v>
      </c>
      <c r="BT606" t="str">
        <f>HYPERLINK("https%3A%2F%2Fwww.webofscience.com%2Fwos%2Fwoscc%2Ffull-record%2FWOS:000222526900014","View Full Record in Web of Science")</f>
        <v>View Full Record in Web of Science</v>
      </c>
    </row>
    <row r="607" spans="1:72" x14ac:dyDescent="0.15">
      <c r="A607" t="s">
        <v>72</v>
      </c>
      <c r="B607" t="s">
        <v>8778</v>
      </c>
      <c r="C607" t="s">
        <v>74</v>
      </c>
      <c r="D607" t="s">
        <v>74</v>
      </c>
      <c r="E607" t="s">
        <v>74</v>
      </c>
      <c r="F607" t="s">
        <v>8778</v>
      </c>
      <c r="G607" t="s">
        <v>74</v>
      </c>
      <c r="H607" t="s">
        <v>74</v>
      </c>
      <c r="I607" t="s">
        <v>8779</v>
      </c>
      <c r="J607" t="s">
        <v>8510</v>
      </c>
      <c r="K607" t="s">
        <v>74</v>
      </c>
      <c r="L607" t="s">
        <v>74</v>
      </c>
      <c r="M607" t="s">
        <v>77</v>
      </c>
      <c r="N607" t="s">
        <v>78</v>
      </c>
      <c r="O607" t="s">
        <v>74</v>
      </c>
      <c r="P607" t="s">
        <v>74</v>
      </c>
      <c r="Q607" t="s">
        <v>74</v>
      </c>
      <c r="R607" t="s">
        <v>74</v>
      </c>
      <c r="S607" t="s">
        <v>74</v>
      </c>
      <c r="T607" t="s">
        <v>8780</v>
      </c>
      <c r="U607" t="s">
        <v>8781</v>
      </c>
      <c r="V607" t="s">
        <v>8782</v>
      </c>
      <c r="W607" t="s">
        <v>8783</v>
      </c>
      <c r="X607" t="s">
        <v>8784</v>
      </c>
      <c r="Y607" t="s">
        <v>8785</v>
      </c>
      <c r="Z607" t="s">
        <v>8786</v>
      </c>
      <c r="AA607" t="s">
        <v>74</v>
      </c>
      <c r="AB607" t="s">
        <v>74</v>
      </c>
      <c r="AC607" t="s">
        <v>74</v>
      </c>
      <c r="AD607" t="s">
        <v>74</v>
      </c>
      <c r="AE607" t="s">
        <v>74</v>
      </c>
      <c r="AF607" t="s">
        <v>74</v>
      </c>
      <c r="AG607">
        <v>31</v>
      </c>
      <c r="AH607">
        <v>24</v>
      </c>
      <c r="AI607">
        <v>27</v>
      </c>
      <c r="AJ607">
        <v>0</v>
      </c>
      <c r="AK607">
        <v>6</v>
      </c>
      <c r="AL607" t="s">
        <v>3622</v>
      </c>
      <c r="AM607" t="s">
        <v>3623</v>
      </c>
      <c r="AN607" t="s">
        <v>3624</v>
      </c>
      <c r="AO607" t="s">
        <v>8517</v>
      </c>
      <c r="AP607" t="s">
        <v>8518</v>
      </c>
      <c r="AQ607" t="s">
        <v>74</v>
      </c>
      <c r="AR607" t="s">
        <v>8519</v>
      </c>
      <c r="AS607" t="s">
        <v>8520</v>
      </c>
      <c r="AT607" t="s">
        <v>74</v>
      </c>
      <c r="AU607">
        <v>2004</v>
      </c>
      <c r="AV607">
        <v>271</v>
      </c>
      <c r="AW607" t="s">
        <v>74</v>
      </c>
      <c r="AX607" t="s">
        <v>74</v>
      </c>
      <c r="AY607" t="s">
        <v>74</v>
      </c>
      <c r="AZ607" t="s">
        <v>74</v>
      </c>
      <c r="BA607" t="s">
        <v>74</v>
      </c>
      <c r="BB607">
        <v>261</v>
      </c>
      <c r="BC607">
        <v>266</v>
      </c>
      <c r="BD607" t="s">
        <v>74</v>
      </c>
      <c r="BE607" t="s">
        <v>8787</v>
      </c>
      <c r="BF607" t="str">
        <f>HYPERLINK("http://dx.doi.org/10.3354/meps271261","http://dx.doi.org/10.3354/meps271261")</f>
        <v>http://dx.doi.org/10.3354/meps271261</v>
      </c>
      <c r="BG607" t="s">
        <v>74</v>
      </c>
      <c r="BH607" t="s">
        <v>74</v>
      </c>
      <c r="BI607">
        <v>6</v>
      </c>
      <c r="BJ607" t="s">
        <v>8522</v>
      </c>
      <c r="BK607" t="s">
        <v>96</v>
      </c>
      <c r="BL607" t="s">
        <v>8523</v>
      </c>
      <c r="BM607" t="s">
        <v>8788</v>
      </c>
      <c r="BN607" t="s">
        <v>74</v>
      </c>
      <c r="BO607" t="s">
        <v>541</v>
      </c>
      <c r="BP607" t="s">
        <v>74</v>
      </c>
      <c r="BQ607" t="s">
        <v>74</v>
      </c>
      <c r="BR607" t="s">
        <v>99</v>
      </c>
      <c r="BS607" t="s">
        <v>8789</v>
      </c>
      <c r="BT607" t="str">
        <f>HYPERLINK("https%3A%2F%2Fwww.webofscience.com%2Fwos%2Fwoscc%2Ffull-record%2FWOS:000221879800021","View Full Record in Web of Science")</f>
        <v>View Full Record in Web of Science</v>
      </c>
    </row>
    <row r="608" spans="1:72" x14ac:dyDescent="0.15">
      <c r="A608" t="s">
        <v>72</v>
      </c>
      <c r="B608" t="s">
        <v>8790</v>
      </c>
      <c r="C608" t="s">
        <v>74</v>
      </c>
      <c r="D608" t="s">
        <v>74</v>
      </c>
      <c r="E608" t="s">
        <v>74</v>
      </c>
      <c r="F608" t="s">
        <v>8790</v>
      </c>
      <c r="G608" t="s">
        <v>74</v>
      </c>
      <c r="H608" t="s">
        <v>74</v>
      </c>
      <c r="I608" t="s">
        <v>8791</v>
      </c>
      <c r="J608" t="s">
        <v>8510</v>
      </c>
      <c r="K608" t="s">
        <v>74</v>
      </c>
      <c r="L608" t="s">
        <v>74</v>
      </c>
      <c r="M608" t="s">
        <v>77</v>
      </c>
      <c r="N608" t="s">
        <v>78</v>
      </c>
      <c r="O608" t="s">
        <v>74</v>
      </c>
      <c r="P608" t="s">
        <v>74</v>
      </c>
      <c r="Q608" t="s">
        <v>74</v>
      </c>
      <c r="R608" t="s">
        <v>74</v>
      </c>
      <c r="S608" t="s">
        <v>74</v>
      </c>
      <c r="T608" t="s">
        <v>8792</v>
      </c>
      <c r="U608" t="s">
        <v>8793</v>
      </c>
      <c r="V608" t="s">
        <v>8794</v>
      </c>
      <c r="W608" t="s">
        <v>8795</v>
      </c>
      <c r="X608" t="s">
        <v>8796</v>
      </c>
      <c r="Y608" t="s">
        <v>8797</v>
      </c>
      <c r="Z608" t="s">
        <v>8798</v>
      </c>
      <c r="AA608" t="s">
        <v>8799</v>
      </c>
      <c r="AB608" t="s">
        <v>8800</v>
      </c>
      <c r="AC608" t="s">
        <v>74</v>
      </c>
      <c r="AD608" t="s">
        <v>74</v>
      </c>
      <c r="AE608" t="s">
        <v>74</v>
      </c>
      <c r="AF608" t="s">
        <v>74</v>
      </c>
      <c r="AG608">
        <v>84</v>
      </c>
      <c r="AH608">
        <v>199</v>
      </c>
      <c r="AI608">
        <v>228</v>
      </c>
      <c r="AJ608">
        <v>5</v>
      </c>
      <c r="AK608">
        <v>71</v>
      </c>
      <c r="AL608" t="s">
        <v>3622</v>
      </c>
      <c r="AM608" t="s">
        <v>3623</v>
      </c>
      <c r="AN608" t="s">
        <v>3624</v>
      </c>
      <c r="AO608" t="s">
        <v>8517</v>
      </c>
      <c r="AP608" t="s">
        <v>8518</v>
      </c>
      <c r="AQ608" t="s">
        <v>74</v>
      </c>
      <c r="AR608" t="s">
        <v>8519</v>
      </c>
      <c r="AS608" t="s">
        <v>8520</v>
      </c>
      <c r="AT608" t="s">
        <v>74</v>
      </c>
      <c r="AU608">
        <v>2004</v>
      </c>
      <c r="AV608">
        <v>270</v>
      </c>
      <c r="AW608" t="s">
        <v>74</v>
      </c>
      <c r="AX608" t="s">
        <v>74</v>
      </c>
      <c r="AY608" t="s">
        <v>74</v>
      </c>
      <c r="AZ608" t="s">
        <v>74</v>
      </c>
      <c r="BA608" t="s">
        <v>74</v>
      </c>
      <c r="BB608">
        <v>83</v>
      </c>
      <c r="BC608">
        <v>102</v>
      </c>
      <c r="BD608" t="s">
        <v>74</v>
      </c>
      <c r="BE608" t="s">
        <v>8801</v>
      </c>
      <c r="BF608" t="str">
        <f>HYPERLINK("http://dx.doi.org/10.3354/meps270083","http://dx.doi.org/10.3354/meps270083")</f>
        <v>http://dx.doi.org/10.3354/meps270083</v>
      </c>
      <c r="BG608" t="s">
        <v>74</v>
      </c>
      <c r="BH608" t="s">
        <v>74</v>
      </c>
      <c r="BI608">
        <v>20</v>
      </c>
      <c r="BJ608" t="s">
        <v>8522</v>
      </c>
      <c r="BK608" t="s">
        <v>96</v>
      </c>
      <c r="BL608" t="s">
        <v>8523</v>
      </c>
      <c r="BM608" t="s">
        <v>8802</v>
      </c>
      <c r="BN608" t="s">
        <v>74</v>
      </c>
      <c r="BO608" t="s">
        <v>286</v>
      </c>
      <c r="BP608" t="s">
        <v>74</v>
      </c>
      <c r="BQ608" t="s">
        <v>74</v>
      </c>
      <c r="BR608" t="s">
        <v>99</v>
      </c>
      <c r="BS608" t="s">
        <v>8803</v>
      </c>
      <c r="BT608" t="str">
        <f>HYPERLINK("https%3A%2F%2Fwww.webofscience.com%2Fwos%2Fwoscc%2Ffull-record%2FWOS:000221616700006","View Full Record in Web of Science")</f>
        <v>View Full Record in Web of Science</v>
      </c>
    </row>
    <row r="609" spans="1:72" x14ac:dyDescent="0.15">
      <c r="A609" t="s">
        <v>72</v>
      </c>
      <c r="B609" t="s">
        <v>8804</v>
      </c>
      <c r="C609" t="s">
        <v>74</v>
      </c>
      <c r="D609" t="s">
        <v>74</v>
      </c>
      <c r="E609" t="s">
        <v>74</v>
      </c>
      <c r="F609" t="s">
        <v>8804</v>
      </c>
      <c r="G609" t="s">
        <v>74</v>
      </c>
      <c r="H609" t="s">
        <v>74</v>
      </c>
      <c r="I609" t="s">
        <v>8805</v>
      </c>
      <c r="J609" t="s">
        <v>8510</v>
      </c>
      <c r="K609" t="s">
        <v>74</v>
      </c>
      <c r="L609" t="s">
        <v>74</v>
      </c>
      <c r="M609" t="s">
        <v>77</v>
      </c>
      <c r="N609" t="s">
        <v>78</v>
      </c>
      <c r="O609" t="s">
        <v>74</v>
      </c>
      <c r="P609" t="s">
        <v>74</v>
      </c>
      <c r="Q609" t="s">
        <v>74</v>
      </c>
      <c r="R609" t="s">
        <v>74</v>
      </c>
      <c r="S609" t="s">
        <v>74</v>
      </c>
      <c r="T609" t="s">
        <v>8806</v>
      </c>
      <c r="U609" t="s">
        <v>8807</v>
      </c>
      <c r="V609" t="s">
        <v>8808</v>
      </c>
      <c r="W609" t="s">
        <v>8809</v>
      </c>
      <c r="X609" t="s">
        <v>8810</v>
      </c>
      <c r="Y609" t="s">
        <v>8811</v>
      </c>
      <c r="Z609" t="s">
        <v>8812</v>
      </c>
      <c r="AA609" t="s">
        <v>74</v>
      </c>
      <c r="AB609" t="s">
        <v>8813</v>
      </c>
      <c r="AC609" t="s">
        <v>74</v>
      </c>
      <c r="AD609" t="s">
        <v>74</v>
      </c>
      <c r="AE609" t="s">
        <v>74</v>
      </c>
      <c r="AF609" t="s">
        <v>74</v>
      </c>
      <c r="AG609">
        <v>26</v>
      </c>
      <c r="AH609">
        <v>27</v>
      </c>
      <c r="AI609">
        <v>28</v>
      </c>
      <c r="AJ609">
        <v>0</v>
      </c>
      <c r="AK609">
        <v>27</v>
      </c>
      <c r="AL609" t="s">
        <v>3622</v>
      </c>
      <c r="AM609" t="s">
        <v>3623</v>
      </c>
      <c r="AN609" t="s">
        <v>3624</v>
      </c>
      <c r="AO609" t="s">
        <v>8517</v>
      </c>
      <c r="AP609" t="s">
        <v>8518</v>
      </c>
      <c r="AQ609" t="s">
        <v>74</v>
      </c>
      <c r="AR609" t="s">
        <v>8519</v>
      </c>
      <c r="AS609" t="s">
        <v>8520</v>
      </c>
      <c r="AT609" t="s">
        <v>74</v>
      </c>
      <c r="AU609">
        <v>2004</v>
      </c>
      <c r="AV609">
        <v>267</v>
      </c>
      <c r="AW609" t="s">
        <v>74</v>
      </c>
      <c r="AX609" t="s">
        <v>74</v>
      </c>
      <c r="AY609" t="s">
        <v>74</v>
      </c>
      <c r="AZ609" t="s">
        <v>74</v>
      </c>
      <c r="BA609" t="s">
        <v>74</v>
      </c>
      <c r="BB609">
        <v>281</v>
      </c>
      <c r="BC609">
        <v>290</v>
      </c>
      <c r="BD609" t="s">
        <v>74</v>
      </c>
      <c r="BE609" t="s">
        <v>8814</v>
      </c>
      <c r="BF609" t="str">
        <f>HYPERLINK("http://dx.doi.org/10.3354/meps267281","http://dx.doi.org/10.3354/meps267281")</f>
        <v>http://dx.doi.org/10.3354/meps267281</v>
      </c>
      <c r="BG609" t="s">
        <v>74</v>
      </c>
      <c r="BH609" t="s">
        <v>74</v>
      </c>
      <c r="BI609">
        <v>10</v>
      </c>
      <c r="BJ609" t="s">
        <v>8522</v>
      </c>
      <c r="BK609" t="s">
        <v>96</v>
      </c>
      <c r="BL609" t="s">
        <v>8523</v>
      </c>
      <c r="BM609" t="s">
        <v>8815</v>
      </c>
      <c r="BN609" t="s">
        <v>74</v>
      </c>
      <c r="BO609" t="s">
        <v>541</v>
      </c>
      <c r="BP609" t="s">
        <v>74</v>
      </c>
      <c r="BQ609" t="s">
        <v>74</v>
      </c>
      <c r="BR609" t="s">
        <v>99</v>
      </c>
      <c r="BS609" t="s">
        <v>8816</v>
      </c>
      <c r="BT609" t="str">
        <f>HYPERLINK("https%3A%2F%2Fwww.webofscience.com%2Fwos%2Fwoscc%2Ffull-record%2FWOS:000220562100023","View Full Record in Web of Science")</f>
        <v>View Full Record in Web of Science</v>
      </c>
    </row>
    <row r="610" spans="1:72" x14ac:dyDescent="0.15">
      <c r="A610" t="s">
        <v>72</v>
      </c>
      <c r="B610" t="s">
        <v>8817</v>
      </c>
      <c r="C610" t="s">
        <v>74</v>
      </c>
      <c r="D610" t="s">
        <v>74</v>
      </c>
      <c r="E610" t="s">
        <v>74</v>
      </c>
      <c r="F610" t="s">
        <v>8817</v>
      </c>
      <c r="G610" t="s">
        <v>74</v>
      </c>
      <c r="H610" t="s">
        <v>74</v>
      </c>
      <c r="I610" t="s">
        <v>8818</v>
      </c>
      <c r="J610" t="s">
        <v>8510</v>
      </c>
      <c r="K610" t="s">
        <v>74</v>
      </c>
      <c r="L610" t="s">
        <v>74</v>
      </c>
      <c r="M610" t="s">
        <v>77</v>
      </c>
      <c r="N610" t="s">
        <v>78</v>
      </c>
      <c r="O610" t="s">
        <v>74</v>
      </c>
      <c r="P610" t="s">
        <v>74</v>
      </c>
      <c r="Q610" t="s">
        <v>74</v>
      </c>
      <c r="R610" t="s">
        <v>74</v>
      </c>
      <c r="S610" t="s">
        <v>74</v>
      </c>
      <c r="T610" t="s">
        <v>8819</v>
      </c>
      <c r="U610" t="s">
        <v>8820</v>
      </c>
      <c r="V610" t="s">
        <v>8821</v>
      </c>
      <c r="W610" t="s">
        <v>8822</v>
      </c>
      <c r="X610" t="s">
        <v>8823</v>
      </c>
      <c r="Y610" t="s">
        <v>83</v>
      </c>
      <c r="Z610" t="s">
        <v>8559</v>
      </c>
      <c r="AA610" t="s">
        <v>8824</v>
      </c>
      <c r="AB610" t="s">
        <v>3273</v>
      </c>
      <c r="AC610" t="s">
        <v>74</v>
      </c>
      <c r="AD610" t="s">
        <v>74</v>
      </c>
      <c r="AE610" t="s">
        <v>74</v>
      </c>
      <c r="AF610" t="s">
        <v>74</v>
      </c>
      <c r="AG610">
        <v>72</v>
      </c>
      <c r="AH610">
        <v>109</v>
      </c>
      <c r="AI610">
        <v>124</v>
      </c>
      <c r="AJ610">
        <v>0</v>
      </c>
      <c r="AK610">
        <v>33</v>
      </c>
      <c r="AL610" t="s">
        <v>3622</v>
      </c>
      <c r="AM610" t="s">
        <v>3623</v>
      </c>
      <c r="AN610" t="s">
        <v>3624</v>
      </c>
      <c r="AO610" t="s">
        <v>8517</v>
      </c>
      <c r="AP610" t="s">
        <v>8518</v>
      </c>
      <c r="AQ610" t="s">
        <v>74</v>
      </c>
      <c r="AR610" t="s">
        <v>8519</v>
      </c>
      <c r="AS610" t="s">
        <v>8520</v>
      </c>
      <c r="AT610" t="s">
        <v>74</v>
      </c>
      <c r="AU610">
        <v>2004</v>
      </c>
      <c r="AV610">
        <v>266</v>
      </c>
      <c r="AW610" t="s">
        <v>74</v>
      </c>
      <c r="AX610" t="s">
        <v>74</v>
      </c>
      <c r="AY610" t="s">
        <v>74</v>
      </c>
      <c r="AZ610" t="s">
        <v>74</v>
      </c>
      <c r="BA610" t="s">
        <v>74</v>
      </c>
      <c r="BB610">
        <v>43</v>
      </c>
      <c r="BC610">
        <v>58</v>
      </c>
      <c r="BD610" t="s">
        <v>74</v>
      </c>
      <c r="BE610" t="s">
        <v>8825</v>
      </c>
      <c r="BF610" t="str">
        <f>HYPERLINK("http://dx.doi.org/10.3354/meps266043","http://dx.doi.org/10.3354/meps266043")</f>
        <v>http://dx.doi.org/10.3354/meps266043</v>
      </c>
      <c r="BG610" t="s">
        <v>74</v>
      </c>
      <c r="BH610" t="s">
        <v>74</v>
      </c>
      <c r="BI610">
        <v>16</v>
      </c>
      <c r="BJ610" t="s">
        <v>8522</v>
      </c>
      <c r="BK610" t="s">
        <v>96</v>
      </c>
      <c r="BL610" t="s">
        <v>8523</v>
      </c>
      <c r="BM610" t="s">
        <v>8826</v>
      </c>
      <c r="BN610" t="s">
        <v>74</v>
      </c>
      <c r="BO610" t="s">
        <v>286</v>
      </c>
      <c r="BP610" t="s">
        <v>74</v>
      </c>
      <c r="BQ610" t="s">
        <v>74</v>
      </c>
      <c r="BR610" t="s">
        <v>99</v>
      </c>
      <c r="BS610" t="s">
        <v>8827</v>
      </c>
      <c r="BT610" t="str">
        <f>HYPERLINK("https%3A%2F%2Fwww.webofscience.com%2Fwos%2Fwoscc%2Ffull-record%2FWOS:000220134500005","View Full Record in Web of Science")</f>
        <v>View Full Record in Web of Science</v>
      </c>
    </row>
    <row r="611" spans="1:72" x14ac:dyDescent="0.15">
      <c r="A611" t="s">
        <v>72</v>
      </c>
      <c r="B611" t="s">
        <v>8828</v>
      </c>
      <c r="C611" t="s">
        <v>74</v>
      </c>
      <c r="D611" t="s">
        <v>74</v>
      </c>
      <c r="E611" t="s">
        <v>74</v>
      </c>
      <c r="F611" t="s">
        <v>8828</v>
      </c>
      <c r="G611" t="s">
        <v>74</v>
      </c>
      <c r="H611" t="s">
        <v>74</v>
      </c>
      <c r="I611" t="s">
        <v>8829</v>
      </c>
      <c r="J611" t="s">
        <v>8510</v>
      </c>
      <c r="K611" t="s">
        <v>74</v>
      </c>
      <c r="L611" t="s">
        <v>74</v>
      </c>
      <c r="M611" t="s">
        <v>77</v>
      </c>
      <c r="N611" t="s">
        <v>78</v>
      </c>
      <c r="O611" t="s">
        <v>74</v>
      </c>
      <c r="P611" t="s">
        <v>74</v>
      </c>
      <c r="Q611" t="s">
        <v>74</v>
      </c>
      <c r="R611" t="s">
        <v>74</v>
      </c>
      <c r="S611" t="s">
        <v>74</v>
      </c>
      <c r="T611" t="s">
        <v>8830</v>
      </c>
      <c r="U611" t="s">
        <v>8831</v>
      </c>
      <c r="V611" t="s">
        <v>8832</v>
      </c>
      <c r="W611" t="s">
        <v>81</v>
      </c>
      <c r="X611" t="s">
        <v>82</v>
      </c>
      <c r="Y611" t="s">
        <v>2464</v>
      </c>
      <c r="Z611" t="s">
        <v>7019</v>
      </c>
      <c r="AA611" t="s">
        <v>74</v>
      </c>
      <c r="AB611" t="s">
        <v>74</v>
      </c>
      <c r="AC611" t="s">
        <v>74</v>
      </c>
      <c r="AD611" t="s">
        <v>74</v>
      </c>
      <c r="AE611" t="s">
        <v>74</v>
      </c>
      <c r="AF611" t="s">
        <v>74</v>
      </c>
      <c r="AG611">
        <v>28</v>
      </c>
      <c r="AH611">
        <v>407</v>
      </c>
      <c r="AI611">
        <v>445</v>
      </c>
      <c r="AJ611">
        <v>1</v>
      </c>
      <c r="AK611">
        <v>115</v>
      </c>
      <c r="AL611" t="s">
        <v>3622</v>
      </c>
      <c r="AM611" t="s">
        <v>3623</v>
      </c>
      <c r="AN611" t="s">
        <v>3624</v>
      </c>
      <c r="AO611" t="s">
        <v>8517</v>
      </c>
      <c r="AP611" t="s">
        <v>8518</v>
      </c>
      <c r="AQ611" t="s">
        <v>74</v>
      </c>
      <c r="AR611" t="s">
        <v>8519</v>
      </c>
      <c r="AS611" t="s">
        <v>8520</v>
      </c>
      <c r="AT611" t="s">
        <v>74</v>
      </c>
      <c r="AU611">
        <v>2004</v>
      </c>
      <c r="AV611">
        <v>266</v>
      </c>
      <c r="AW611" t="s">
        <v>74</v>
      </c>
      <c r="AX611" t="s">
        <v>74</v>
      </c>
      <c r="AY611" t="s">
        <v>74</v>
      </c>
      <c r="AZ611" t="s">
        <v>74</v>
      </c>
      <c r="BA611" t="s">
        <v>74</v>
      </c>
      <c r="BB611">
        <v>265</v>
      </c>
      <c r="BC611">
        <v>272</v>
      </c>
      <c r="BD611" t="s">
        <v>74</v>
      </c>
      <c r="BE611" t="s">
        <v>8833</v>
      </c>
      <c r="BF611" t="str">
        <f>HYPERLINK("http://dx.doi.org/10.3354/meps266265","http://dx.doi.org/10.3354/meps266265")</f>
        <v>http://dx.doi.org/10.3354/meps266265</v>
      </c>
      <c r="BG611" t="s">
        <v>74</v>
      </c>
      <c r="BH611" t="s">
        <v>74</v>
      </c>
      <c r="BI611">
        <v>8</v>
      </c>
      <c r="BJ611" t="s">
        <v>8522</v>
      </c>
      <c r="BK611" t="s">
        <v>96</v>
      </c>
      <c r="BL611" t="s">
        <v>8523</v>
      </c>
      <c r="BM611" t="s">
        <v>8826</v>
      </c>
      <c r="BN611" t="s">
        <v>74</v>
      </c>
      <c r="BO611" t="s">
        <v>817</v>
      </c>
      <c r="BP611" t="s">
        <v>74</v>
      </c>
      <c r="BQ611" t="s">
        <v>74</v>
      </c>
      <c r="BR611" t="s">
        <v>99</v>
      </c>
      <c r="BS611" t="s">
        <v>8834</v>
      </c>
      <c r="BT611" t="str">
        <f>HYPERLINK("https%3A%2F%2Fwww.webofscience.com%2Fwos%2Fwoscc%2Ffull-record%2FWOS:000220134500025","View Full Record in Web of Science")</f>
        <v>View Full Record in Web of Science</v>
      </c>
    </row>
    <row r="612" spans="1:72" x14ac:dyDescent="0.15">
      <c r="A612" t="s">
        <v>72</v>
      </c>
      <c r="B612" t="s">
        <v>8835</v>
      </c>
      <c r="C612" t="s">
        <v>74</v>
      </c>
      <c r="D612" t="s">
        <v>74</v>
      </c>
      <c r="E612" t="s">
        <v>74</v>
      </c>
      <c r="F612" t="s">
        <v>8836</v>
      </c>
      <c r="G612" t="s">
        <v>74</v>
      </c>
      <c r="H612" t="s">
        <v>74</v>
      </c>
      <c r="I612" t="s">
        <v>8837</v>
      </c>
      <c r="J612" t="s">
        <v>8838</v>
      </c>
      <c r="K612" t="s">
        <v>74</v>
      </c>
      <c r="L612" t="s">
        <v>74</v>
      </c>
      <c r="M612" t="s">
        <v>77</v>
      </c>
      <c r="N612" t="s">
        <v>78</v>
      </c>
      <c r="O612" t="s">
        <v>74</v>
      </c>
      <c r="P612" t="s">
        <v>74</v>
      </c>
      <c r="Q612" t="s">
        <v>74</v>
      </c>
      <c r="R612" t="s">
        <v>74</v>
      </c>
      <c r="S612" t="s">
        <v>74</v>
      </c>
      <c r="T612" t="s">
        <v>8839</v>
      </c>
      <c r="U612" t="s">
        <v>74</v>
      </c>
      <c r="V612" t="s">
        <v>8840</v>
      </c>
      <c r="W612" t="s">
        <v>8841</v>
      </c>
      <c r="X612" t="s">
        <v>8842</v>
      </c>
      <c r="Y612" t="s">
        <v>8843</v>
      </c>
      <c r="Z612" t="s">
        <v>8844</v>
      </c>
      <c r="AA612" t="s">
        <v>8845</v>
      </c>
      <c r="AB612" t="s">
        <v>8846</v>
      </c>
      <c r="AC612" t="s">
        <v>8847</v>
      </c>
      <c r="AD612" t="s">
        <v>8848</v>
      </c>
      <c r="AE612" t="s">
        <v>8849</v>
      </c>
      <c r="AF612" t="s">
        <v>74</v>
      </c>
      <c r="AG612">
        <v>25</v>
      </c>
      <c r="AH612">
        <v>34</v>
      </c>
      <c r="AI612">
        <v>46</v>
      </c>
      <c r="AJ612">
        <v>0</v>
      </c>
      <c r="AK612">
        <v>5</v>
      </c>
      <c r="AL612" t="s">
        <v>1742</v>
      </c>
      <c r="AM612" t="s">
        <v>1743</v>
      </c>
      <c r="AN612" t="s">
        <v>1744</v>
      </c>
      <c r="AO612" t="s">
        <v>8850</v>
      </c>
      <c r="AP612" t="s">
        <v>8851</v>
      </c>
      <c r="AQ612" t="s">
        <v>74</v>
      </c>
      <c r="AR612" t="s">
        <v>8852</v>
      </c>
      <c r="AS612" t="s">
        <v>8853</v>
      </c>
      <c r="AT612" t="s">
        <v>74</v>
      </c>
      <c r="AU612">
        <v>2004</v>
      </c>
      <c r="AV612">
        <v>27</v>
      </c>
      <c r="AW612" t="s">
        <v>536</v>
      </c>
      <c r="AX612" t="s">
        <v>74</v>
      </c>
      <c r="AY612" t="s">
        <v>74</v>
      </c>
      <c r="AZ612" t="s">
        <v>74</v>
      </c>
      <c r="BA612" t="s">
        <v>74</v>
      </c>
      <c r="BB612">
        <v>108</v>
      </c>
      <c r="BC612">
        <v>132</v>
      </c>
      <c r="BD612" t="s">
        <v>74</v>
      </c>
      <c r="BE612" t="s">
        <v>8854</v>
      </c>
      <c r="BF612" t="str">
        <f>HYPERLINK("http://dx.doi.org/10.1080/01490410490465373","http://dx.doi.org/10.1080/01490410490465373")</f>
        <v>http://dx.doi.org/10.1080/01490410490465373</v>
      </c>
      <c r="BG612" t="s">
        <v>74</v>
      </c>
      <c r="BH612" t="s">
        <v>74</v>
      </c>
      <c r="BI612">
        <v>25</v>
      </c>
      <c r="BJ612" t="s">
        <v>8855</v>
      </c>
      <c r="BK612" t="s">
        <v>96</v>
      </c>
      <c r="BL612" t="s">
        <v>8855</v>
      </c>
      <c r="BM612" t="s">
        <v>8856</v>
      </c>
      <c r="BN612" t="s">
        <v>74</v>
      </c>
      <c r="BO612" t="s">
        <v>7489</v>
      </c>
      <c r="BP612" t="s">
        <v>74</v>
      </c>
      <c r="BQ612" t="s">
        <v>74</v>
      </c>
      <c r="BR612" t="s">
        <v>99</v>
      </c>
      <c r="BS612" t="s">
        <v>8857</v>
      </c>
      <c r="BT612" t="str">
        <f>HYPERLINK("https%3A%2F%2Fwww.webofscience.com%2Fwos%2Fwoscc%2Ffull-record%2FWOS:000208448600009","View Full Record in Web of Science")</f>
        <v>View Full Record in Web of Science</v>
      </c>
    </row>
    <row r="613" spans="1:72" x14ac:dyDescent="0.15">
      <c r="A613" t="s">
        <v>72</v>
      </c>
      <c r="B613" t="s">
        <v>8858</v>
      </c>
      <c r="C613" t="s">
        <v>74</v>
      </c>
      <c r="D613" t="s">
        <v>74</v>
      </c>
      <c r="E613" t="s">
        <v>74</v>
      </c>
      <c r="F613" t="s">
        <v>8858</v>
      </c>
      <c r="G613" t="s">
        <v>74</v>
      </c>
      <c r="H613" t="s">
        <v>74</v>
      </c>
      <c r="I613" t="s">
        <v>8859</v>
      </c>
      <c r="J613" t="s">
        <v>8860</v>
      </c>
      <c r="K613" t="s">
        <v>74</v>
      </c>
      <c r="L613" t="s">
        <v>74</v>
      </c>
      <c r="M613" t="s">
        <v>77</v>
      </c>
      <c r="N613" t="s">
        <v>78</v>
      </c>
      <c r="O613" t="s">
        <v>74</v>
      </c>
      <c r="P613" t="s">
        <v>74</v>
      </c>
      <c r="Q613" t="s">
        <v>74</v>
      </c>
      <c r="R613" t="s">
        <v>74</v>
      </c>
      <c r="S613" t="s">
        <v>74</v>
      </c>
      <c r="T613" t="s">
        <v>8861</v>
      </c>
      <c r="U613" t="s">
        <v>8862</v>
      </c>
      <c r="V613" t="s">
        <v>8863</v>
      </c>
      <c r="W613" t="s">
        <v>8864</v>
      </c>
      <c r="X613" t="s">
        <v>8865</v>
      </c>
      <c r="Y613" t="s">
        <v>8866</v>
      </c>
      <c r="Z613" t="s">
        <v>8867</v>
      </c>
      <c r="AA613" t="s">
        <v>8868</v>
      </c>
      <c r="AB613" t="s">
        <v>8869</v>
      </c>
      <c r="AC613" t="s">
        <v>74</v>
      </c>
      <c r="AD613" t="s">
        <v>74</v>
      </c>
      <c r="AE613" t="s">
        <v>74</v>
      </c>
      <c r="AF613" t="s">
        <v>74</v>
      </c>
      <c r="AG613">
        <v>67</v>
      </c>
      <c r="AH613">
        <v>113</v>
      </c>
      <c r="AI613">
        <v>134</v>
      </c>
      <c r="AJ613">
        <v>3</v>
      </c>
      <c r="AK613">
        <v>35</v>
      </c>
      <c r="AL613" t="s">
        <v>198</v>
      </c>
      <c r="AM613" t="s">
        <v>178</v>
      </c>
      <c r="AN613" t="s">
        <v>179</v>
      </c>
      <c r="AO613" t="s">
        <v>8870</v>
      </c>
      <c r="AP613" t="s">
        <v>8871</v>
      </c>
      <c r="AQ613" t="s">
        <v>74</v>
      </c>
      <c r="AR613" t="s">
        <v>8872</v>
      </c>
      <c r="AS613" t="s">
        <v>8873</v>
      </c>
      <c r="AT613" t="s">
        <v>4117</v>
      </c>
      <c r="AU613">
        <v>2004</v>
      </c>
      <c r="AV613">
        <v>20</v>
      </c>
      <c r="AW613">
        <v>1</v>
      </c>
      <c r="AX613" t="s">
        <v>74</v>
      </c>
      <c r="AY613" t="s">
        <v>74</v>
      </c>
      <c r="AZ613" t="s">
        <v>74</v>
      </c>
      <c r="BA613" t="s">
        <v>74</v>
      </c>
      <c r="BB613">
        <v>28</v>
      </c>
      <c r="BC613">
        <v>47</v>
      </c>
      <c r="BD613" t="s">
        <v>74</v>
      </c>
      <c r="BE613" t="s">
        <v>8874</v>
      </c>
      <c r="BF613" t="str">
        <f>HYPERLINK("http://dx.doi.org/10.1111/j.1748-7692.2004.tb01139.x","http://dx.doi.org/10.1111/j.1748-7692.2004.tb01139.x")</f>
        <v>http://dx.doi.org/10.1111/j.1748-7692.2004.tb01139.x</v>
      </c>
      <c r="BG613" t="s">
        <v>74</v>
      </c>
      <c r="BH613" t="s">
        <v>74</v>
      </c>
      <c r="BI613">
        <v>20</v>
      </c>
      <c r="BJ613" t="s">
        <v>414</v>
      </c>
      <c r="BK613" t="s">
        <v>96</v>
      </c>
      <c r="BL613" t="s">
        <v>414</v>
      </c>
      <c r="BM613" t="s">
        <v>8875</v>
      </c>
      <c r="BN613" t="s">
        <v>74</v>
      </c>
      <c r="BO613" t="s">
        <v>74</v>
      </c>
      <c r="BP613" t="s">
        <v>74</v>
      </c>
      <c r="BQ613" t="s">
        <v>74</v>
      </c>
      <c r="BR613" t="s">
        <v>99</v>
      </c>
      <c r="BS613" t="s">
        <v>8876</v>
      </c>
      <c r="BT613" t="str">
        <f>HYPERLINK("https%3A%2F%2Fwww.webofscience.com%2Fwos%2Fwoscc%2Ffull-record%2FWOS:000188255500002","View Full Record in Web of Science")</f>
        <v>View Full Record in Web of Science</v>
      </c>
    </row>
    <row r="614" spans="1:72" x14ac:dyDescent="0.15">
      <c r="A614" t="s">
        <v>72</v>
      </c>
      <c r="B614" t="s">
        <v>8877</v>
      </c>
      <c r="C614" t="s">
        <v>74</v>
      </c>
      <c r="D614" t="s">
        <v>74</v>
      </c>
      <c r="E614" t="s">
        <v>74</v>
      </c>
      <c r="F614" t="s">
        <v>8877</v>
      </c>
      <c r="G614" t="s">
        <v>74</v>
      </c>
      <c r="H614" t="s">
        <v>74</v>
      </c>
      <c r="I614" t="s">
        <v>8878</v>
      </c>
      <c r="J614" t="s">
        <v>8860</v>
      </c>
      <c r="K614" t="s">
        <v>74</v>
      </c>
      <c r="L614" t="s">
        <v>74</v>
      </c>
      <c r="M614" t="s">
        <v>77</v>
      </c>
      <c r="N614" t="s">
        <v>268</v>
      </c>
      <c r="O614" t="s">
        <v>74</v>
      </c>
      <c r="P614" t="s">
        <v>74</v>
      </c>
      <c r="Q614" t="s">
        <v>74</v>
      </c>
      <c r="R614" t="s">
        <v>74</v>
      </c>
      <c r="S614" t="s">
        <v>74</v>
      </c>
      <c r="T614" t="s">
        <v>8879</v>
      </c>
      <c r="U614" t="s">
        <v>8880</v>
      </c>
      <c r="V614" t="s">
        <v>8881</v>
      </c>
      <c r="W614" t="s">
        <v>8882</v>
      </c>
      <c r="X614" t="s">
        <v>8883</v>
      </c>
      <c r="Y614" t="s">
        <v>8884</v>
      </c>
      <c r="Z614" t="s">
        <v>8885</v>
      </c>
      <c r="AA614" t="s">
        <v>8886</v>
      </c>
      <c r="AB614" t="s">
        <v>8887</v>
      </c>
      <c r="AC614" t="s">
        <v>74</v>
      </c>
      <c r="AD614" t="s">
        <v>74</v>
      </c>
      <c r="AE614" t="s">
        <v>74</v>
      </c>
      <c r="AF614" t="s">
        <v>74</v>
      </c>
      <c r="AG614">
        <v>211</v>
      </c>
      <c r="AH614">
        <v>81</v>
      </c>
      <c r="AI614">
        <v>94</v>
      </c>
      <c r="AJ614">
        <v>1</v>
      </c>
      <c r="AK614">
        <v>43</v>
      </c>
      <c r="AL614" t="s">
        <v>177</v>
      </c>
      <c r="AM614" t="s">
        <v>178</v>
      </c>
      <c r="AN614" t="s">
        <v>179</v>
      </c>
      <c r="AO614" t="s">
        <v>8870</v>
      </c>
      <c r="AP614" t="s">
        <v>8871</v>
      </c>
      <c r="AQ614" t="s">
        <v>74</v>
      </c>
      <c r="AR614" t="s">
        <v>8872</v>
      </c>
      <c r="AS614" t="s">
        <v>8873</v>
      </c>
      <c r="AT614" t="s">
        <v>4117</v>
      </c>
      <c r="AU614">
        <v>2004</v>
      </c>
      <c r="AV614">
        <v>20</v>
      </c>
      <c r="AW614">
        <v>1</v>
      </c>
      <c r="AX614" t="s">
        <v>74</v>
      </c>
      <c r="AY614" t="s">
        <v>74</v>
      </c>
      <c r="AZ614" t="s">
        <v>74</v>
      </c>
      <c r="BA614" t="s">
        <v>74</v>
      </c>
      <c r="BB614">
        <v>86</v>
      </c>
      <c r="BC614">
        <v>114</v>
      </c>
      <c r="BD614" t="s">
        <v>74</v>
      </c>
      <c r="BE614" t="s">
        <v>8888</v>
      </c>
      <c r="BF614" t="str">
        <f>HYPERLINK("http://dx.doi.org/10.1111/j.1748-7692.2004.tb01142.x","http://dx.doi.org/10.1111/j.1748-7692.2004.tb01142.x")</f>
        <v>http://dx.doi.org/10.1111/j.1748-7692.2004.tb01142.x</v>
      </c>
      <c r="BG614" t="s">
        <v>74</v>
      </c>
      <c r="BH614" t="s">
        <v>74</v>
      </c>
      <c r="BI614">
        <v>29</v>
      </c>
      <c r="BJ614" t="s">
        <v>414</v>
      </c>
      <c r="BK614" t="s">
        <v>96</v>
      </c>
      <c r="BL614" t="s">
        <v>414</v>
      </c>
      <c r="BM614" t="s">
        <v>8875</v>
      </c>
      <c r="BN614" t="s">
        <v>74</v>
      </c>
      <c r="BO614" t="s">
        <v>74</v>
      </c>
      <c r="BP614" t="s">
        <v>74</v>
      </c>
      <c r="BQ614" t="s">
        <v>74</v>
      </c>
      <c r="BR614" t="s">
        <v>99</v>
      </c>
      <c r="BS614" t="s">
        <v>8889</v>
      </c>
      <c r="BT614" t="str">
        <f>HYPERLINK("https%3A%2F%2Fwww.webofscience.com%2Fwos%2Fwoscc%2Ffull-record%2FWOS:000188255500005","View Full Record in Web of Science")</f>
        <v>View Full Record in Web of Science</v>
      </c>
    </row>
    <row r="615" spans="1:72" x14ac:dyDescent="0.15">
      <c r="A615" t="s">
        <v>3934</v>
      </c>
      <c r="B615" t="s">
        <v>1497</v>
      </c>
      <c r="C615" t="s">
        <v>74</v>
      </c>
      <c r="D615" t="s">
        <v>1497</v>
      </c>
      <c r="E615" t="s">
        <v>74</v>
      </c>
      <c r="F615" t="s">
        <v>1497</v>
      </c>
      <c r="G615" t="s">
        <v>74</v>
      </c>
      <c r="H615" t="s">
        <v>74</v>
      </c>
      <c r="I615" t="s">
        <v>8890</v>
      </c>
      <c r="J615" t="s">
        <v>8891</v>
      </c>
      <c r="K615" t="s">
        <v>8892</v>
      </c>
      <c r="L615" t="s">
        <v>74</v>
      </c>
      <c r="M615" t="s">
        <v>77</v>
      </c>
      <c r="N615" t="s">
        <v>3940</v>
      </c>
      <c r="O615" t="s">
        <v>1500</v>
      </c>
      <c r="P615" t="s">
        <v>1501</v>
      </c>
      <c r="Q615" t="s">
        <v>1502</v>
      </c>
      <c r="R615" t="s">
        <v>74</v>
      </c>
      <c r="S615" t="s">
        <v>1503</v>
      </c>
      <c r="T615" t="s">
        <v>74</v>
      </c>
      <c r="U615" t="s">
        <v>8893</v>
      </c>
      <c r="V615" t="s">
        <v>8894</v>
      </c>
      <c r="W615" t="s">
        <v>8895</v>
      </c>
      <c r="X615" t="s">
        <v>82</v>
      </c>
      <c r="Y615" t="s">
        <v>8896</v>
      </c>
      <c r="Z615" t="s">
        <v>74</v>
      </c>
      <c r="AA615" t="s">
        <v>74</v>
      </c>
      <c r="AB615" t="s">
        <v>74</v>
      </c>
      <c r="AC615" t="s">
        <v>74</v>
      </c>
      <c r="AD615" t="s">
        <v>74</v>
      </c>
      <c r="AE615" t="s">
        <v>74</v>
      </c>
      <c r="AF615" t="s">
        <v>74</v>
      </c>
      <c r="AG615">
        <v>24</v>
      </c>
      <c r="AH615">
        <v>0</v>
      </c>
      <c r="AI615">
        <v>0</v>
      </c>
      <c r="AJ615">
        <v>0</v>
      </c>
      <c r="AK615">
        <v>0</v>
      </c>
      <c r="AL615" t="s">
        <v>8897</v>
      </c>
      <c r="AM615" t="s">
        <v>1452</v>
      </c>
      <c r="AN615" t="s">
        <v>8898</v>
      </c>
      <c r="AO615" t="s">
        <v>8899</v>
      </c>
      <c r="AP615" t="s">
        <v>74</v>
      </c>
      <c r="AQ615" t="s">
        <v>8900</v>
      </c>
      <c r="AR615" t="s">
        <v>8901</v>
      </c>
      <c r="AS615" t="s">
        <v>74</v>
      </c>
      <c r="AT615" t="s">
        <v>74</v>
      </c>
      <c r="AU615">
        <v>2004</v>
      </c>
      <c r="AV615">
        <v>107</v>
      </c>
      <c r="AW615" t="s">
        <v>74</v>
      </c>
      <c r="AX615" t="s">
        <v>74</v>
      </c>
      <c r="AY615" t="s">
        <v>74</v>
      </c>
      <c r="AZ615" t="s">
        <v>74</v>
      </c>
      <c r="BA615" t="s">
        <v>74</v>
      </c>
      <c r="BB615">
        <v>231</v>
      </c>
      <c r="BC615">
        <v>244</v>
      </c>
      <c r="BD615" t="s">
        <v>74</v>
      </c>
      <c r="BE615" t="s">
        <v>74</v>
      </c>
      <c r="BF615" t="s">
        <v>74</v>
      </c>
      <c r="BG615" t="s">
        <v>74</v>
      </c>
      <c r="BH615" t="s">
        <v>74</v>
      </c>
      <c r="BI615">
        <v>14</v>
      </c>
      <c r="BJ615" t="s">
        <v>3954</v>
      </c>
      <c r="BK615" t="s">
        <v>3955</v>
      </c>
      <c r="BL615" t="s">
        <v>3956</v>
      </c>
      <c r="BM615" t="s">
        <v>8902</v>
      </c>
      <c r="BN615" t="s">
        <v>74</v>
      </c>
      <c r="BO615" t="s">
        <v>74</v>
      </c>
      <c r="BP615" t="s">
        <v>74</v>
      </c>
      <c r="BQ615" t="s">
        <v>74</v>
      </c>
      <c r="BR615" t="s">
        <v>99</v>
      </c>
      <c r="BS615" t="s">
        <v>8903</v>
      </c>
      <c r="BT615" t="str">
        <f>HYPERLINK("https%3A%2F%2Fwww.webofscience.com%2Fwos%2Fwoscc%2Ffull-record%2FWOS:000189491500013","View Full Record in Web of Science")</f>
        <v>View Full Record in Web of Science</v>
      </c>
    </row>
    <row r="616" spans="1:72" x14ac:dyDescent="0.15">
      <c r="A616" t="s">
        <v>72</v>
      </c>
      <c r="B616" t="s">
        <v>8904</v>
      </c>
      <c r="C616" t="s">
        <v>74</v>
      </c>
      <c r="D616" t="s">
        <v>74</v>
      </c>
      <c r="E616" t="s">
        <v>74</v>
      </c>
      <c r="F616" t="s">
        <v>8904</v>
      </c>
      <c r="G616" t="s">
        <v>74</v>
      </c>
      <c r="H616" t="s">
        <v>74</v>
      </c>
      <c r="I616" t="s">
        <v>8905</v>
      </c>
      <c r="J616" t="s">
        <v>8906</v>
      </c>
      <c r="K616" t="s">
        <v>74</v>
      </c>
      <c r="L616" t="s">
        <v>74</v>
      </c>
      <c r="M616" t="s">
        <v>77</v>
      </c>
      <c r="N616" t="s">
        <v>78</v>
      </c>
      <c r="O616" t="s">
        <v>74</v>
      </c>
      <c r="P616" t="s">
        <v>74</v>
      </c>
      <c r="Q616" t="s">
        <v>74</v>
      </c>
      <c r="R616" t="s">
        <v>74</v>
      </c>
      <c r="S616" t="s">
        <v>74</v>
      </c>
      <c r="T616" t="s">
        <v>74</v>
      </c>
      <c r="U616" t="s">
        <v>8907</v>
      </c>
      <c r="V616" t="s">
        <v>8908</v>
      </c>
      <c r="W616" t="s">
        <v>8909</v>
      </c>
      <c r="X616" t="s">
        <v>8910</v>
      </c>
      <c r="Y616" t="s">
        <v>8911</v>
      </c>
      <c r="Z616" t="s">
        <v>8912</v>
      </c>
      <c r="AA616" t="s">
        <v>74</v>
      </c>
      <c r="AB616" t="s">
        <v>74</v>
      </c>
      <c r="AC616" t="s">
        <v>74</v>
      </c>
      <c r="AD616" t="s">
        <v>74</v>
      </c>
      <c r="AE616" t="s">
        <v>74</v>
      </c>
      <c r="AF616" t="s">
        <v>74</v>
      </c>
      <c r="AG616">
        <v>24</v>
      </c>
      <c r="AH616">
        <v>18</v>
      </c>
      <c r="AI616">
        <v>18</v>
      </c>
      <c r="AJ616">
        <v>0</v>
      </c>
      <c r="AK616">
        <v>7</v>
      </c>
      <c r="AL616" t="s">
        <v>7154</v>
      </c>
      <c r="AM616" t="s">
        <v>7155</v>
      </c>
      <c r="AN616" t="s">
        <v>7156</v>
      </c>
      <c r="AO616" t="s">
        <v>8913</v>
      </c>
      <c r="AP616" t="s">
        <v>8914</v>
      </c>
      <c r="AQ616" t="s">
        <v>74</v>
      </c>
      <c r="AR616" t="s">
        <v>8915</v>
      </c>
      <c r="AS616" t="s">
        <v>8916</v>
      </c>
      <c r="AT616" t="s">
        <v>74</v>
      </c>
      <c r="AU616">
        <v>2004</v>
      </c>
      <c r="AV616">
        <v>13</v>
      </c>
      <c r="AW616">
        <v>4</v>
      </c>
      <c r="AX616" t="s">
        <v>74</v>
      </c>
      <c r="AY616" t="s">
        <v>74</v>
      </c>
      <c r="AZ616" t="s">
        <v>74</v>
      </c>
      <c r="BA616" t="s">
        <v>74</v>
      </c>
      <c r="BB616">
        <v>263</v>
      </c>
      <c r="BC616">
        <v>270</v>
      </c>
      <c r="BD616" t="s">
        <v>74</v>
      </c>
      <c r="BE616" t="s">
        <v>8917</v>
      </c>
      <c r="BF616" t="str">
        <f>HYPERLINK("http://dx.doi.org/10.1127/0941-2948/2004/0013-0263","http://dx.doi.org/10.1127/0941-2948/2004/0013-0263")</f>
        <v>http://dx.doi.org/10.1127/0941-2948/2004/0013-0263</v>
      </c>
      <c r="BG616" t="s">
        <v>74</v>
      </c>
      <c r="BH616" t="s">
        <v>74</v>
      </c>
      <c r="BI616">
        <v>8</v>
      </c>
      <c r="BJ616" t="s">
        <v>186</v>
      </c>
      <c r="BK616" t="s">
        <v>96</v>
      </c>
      <c r="BL616" t="s">
        <v>186</v>
      </c>
      <c r="BM616" t="s">
        <v>8918</v>
      </c>
      <c r="BN616" t="s">
        <v>74</v>
      </c>
      <c r="BO616" t="s">
        <v>74</v>
      </c>
      <c r="BP616" t="s">
        <v>74</v>
      </c>
      <c r="BQ616" t="s">
        <v>74</v>
      </c>
      <c r="BR616" t="s">
        <v>99</v>
      </c>
      <c r="BS616" t="s">
        <v>8919</v>
      </c>
      <c r="BT616" t="str">
        <f>HYPERLINK("https%3A%2F%2Fwww.webofscience.com%2Fwos%2Fwoscc%2Ffull-record%2FWOS:000224624500001","View Full Record in Web of Science")</f>
        <v>View Full Record in Web of Science</v>
      </c>
    </row>
    <row r="617" spans="1:72" x14ac:dyDescent="0.15">
      <c r="A617" t="s">
        <v>72</v>
      </c>
      <c r="B617" t="s">
        <v>8920</v>
      </c>
      <c r="C617" t="s">
        <v>74</v>
      </c>
      <c r="D617" t="s">
        <v>74</v>
      </c>
      <c r="E617" t="s">
        <v>74</v>
      </c>
      <c r="F617" t="s">
        <v>8920</v>
      </c>
      <c r="G617" t="s">
        <v>74</v>
      </c>
      <c r="H617" t="s">
        <v>74</v>
      </c>
      <c r="I617" t="s">
        <v>8921</v>
      </c>
      <c r="J617" t="s">
        <v>8922</v>
      </c>
      <c r="K617" t="s">
        <v>74</v>
      </c>
      <c r="L617" t="s">
        <v>74</v>
      </c>
      <c r="M617" t="s">
        <v>77</v>
      </c>
      <c r="N617" t="s">
        <v>78</v>
      </c>
      <c r="O617" t="s">
        <v>74</v>
      </c>
      <c r="P617" t="s">
        <v>74</v>
      </c>
      <c r="Q617" t="s">
        <v>74</v>
      </c>
      <c r="R617" t="s">
        <v>74</v>
      </c>
      <c r="S617" t="s">
        <v>74</v>
      </c>
      <c r="T617" t="s">
        <v>8923</v>
      </c>
      <c r="U617" t="s">
        <v>8924</v>
      </c>
      <c r="V617" t="s">
        <v>8925</v>
      </c>
      <c r="W617" t="s">
        <v>8926</v>
      </c>
      <c r="X617" t="s">
        <v>8927</v>
      </c>
      <c r="Y617" t="s">
        <v>8928</v>
      </c>
      <c r="Z617" t="s">
        <v>8929</v>
      </c>
      <c r="AA617" t="s">
        <v>8930</v>
      </c>
      <c r="AB617" t="s">
        <v>8931</v>
      </c>
      <c r="AC617" t="s">
        <v>74</v>
      </c>
      <c r="AD617" t="s">
        <v>74</v>
      </c>
      <c r="AE617" t="s">
        <v>74</v>
      </c>
      <c r="AF617" t="s">
        <v>74</v>
      </c>
      <c r="AG617">
        <v>33</v>
      </c>
      <c r="AH617">
        <v>37</v>
      </c>
      <c r="AI617">
        <v>48</v>
      </c>
      <c r="AJ617">
        <v>1</v>
      </c>
      <c r="AK617">
        <v>11</v>
      </c>
      <c r="AL617" t="s">
        <v>8932</v>
      </c>
      <c r="AM617" t="s">
        <v>2086</v>
      </c>
      <c r="AN617" t="s">
        <v>8933</v>
      </c>
      <c r="AO617" t="s">
        <v>8934</v>
      </c>
      <c r="AP617" t="s">
        <v>74</v>
      </c>
      <c r="AQ617" t="s">
        <v>74</v>
      </c>
      <c r="AR617" t="s">
        <v>8935</v>
      </c>
      <c r="AS617" t="s">
        <v>8936</v>
      </c>
      <c r="AT617" t="s">
        <v>74</v>
      </c>
      <c r="AU617">
        <v>2004</v>
      </c>
      <c r="AV617">
        <v>159</v>
      </c>
      <c r="AW617">
        <v>2</v>
      </c>
      <c r="AX617" t="s">
        <v>74</v>
      </c>
      <c r="AY617" t="s">
        <v>74</v>
      </c>
      <c r="AZ617" t="s">
        <v>74</v>
      </c>
      <c r="BA617" t="s">
        <v>74</v>
      </c>
      <c r="BB617">
        <v>157</v>
      </c>
      <c r="BC617">
        <v>166</v>
      </c>
      <c r="BD617" t="s">
        <v>74</v>
      </c>
      <c r="BE617" t="s">
        <v>8937</v>
      </c>
      <c r="BF617" t="str">
        <f>HYPERLINK("http://dx.doi.org/10.1016/j.micres.2004.03.001","http://dx.doi.org/10.1016/j.micres.2004.03.001")</f>
        <v>http://dx.doi.org/10.1016/j.micres.2004.03.001</v>
      </c>
      <c r="BG617" t="s">
        <v>74</v>
      </c>
      <c r="BH617" t="s">
        <v>74</v>
      </c>
      <c r="BI617">
        <v>10</v>
      </c>
      <c r="BJ617" t="s">
        <v>743</v>
      </c>
      <c r="BK617" t="s">
        <v>96</v>
      </c>
      <c r="BL617" t="s">
        <v>743</v>
      </c>
      <c r="BM617" t="s">
        <v>8938</v>
      </c>
      <c r="BN617">
        <v>15293950</v>
      </c>
      <c r="BO617" t="s">
        <v>74</v>
      </c>
      <c r="BP617" t="s">
        <v>74</v>
      </c>
      <c r="BQ617" t="s">
        <v>74</v>
      </c>
      <c r="BR617" t="s">
        <v>99</v>
      </c>
      <c r="BS617" t="s">
        <v>8939</v>
      </c>
      <c r="BT617" t="str">
        <f>HYPERLINK("https%3A%2F%2Fwww.webofscience.com%2Fwos%2Fwoscc%2Ffull-record%2FWOS:000222992300009","View Full Record in Web of Science")</f>
        <v>View Full Record in Web of Science</v>
      </c>
    </row>
    <row r="618" spans="1:72" x14ac:dyDescent="0.15">
      <c r="A618" t="s">
        <v>72</v>
      </c>
      <c r="B618" t="s">
        <v>8940</v>
      </c>
      <c r="C618" t="s">
        <v>74</v>
      </c>
      <c r="D618" t="s">
        <v>74</v>
      </c>
      <c r="E618" t="s">
        <v>74</v>
      </c>
      <c r="F618" t="s">
        <v>8940</v>
      </c>
      <c r="G618" t="s">
        <v>74</v>
      </c>
      <c r="H618" t="s">
        <v>74</v>
      </c>
      <c r="I618" t="s">
        <v>8941</v>
      </c>
      <c r="J618" t="s">
        <v>8942</v>
      </c>
      <c r="K618" t="s">
        <v>74</v>
      </c>
      <c r="L618" t="s">
        <v>74</v>
      </c>
      <c r="M618" t="s">
        <v>77</v>
      </c>
      <c r="N618" t="s">
        <v>78</v>
      </c>
      <c r="O618" t="s">
        <v>74</v>
      </c>
      <c r="P618" t="s">
        <v>74</v>
      </c>
      <c r="Q618" t="s">
        <v>74</v>
      </c>
      <c r="R618" t="s">
        <v>74</v>
      </c>
      <c r="S618" t="s">
        <v>74</v>
      </c>
      <c r="T618" t="s">
        <v>74</v>
      </c>
      <c r="U618" t="s">
        <v>8943</v>
      </c>
      <c r="V618" t="s">
        <v>8944</v>
      </c>
      <c r="W618" t="s">
        <v>8945</v>
      </c>
      <c r="X618" t="s">
        <v>8946</v>
      </c>
      <c r="Y618" t="s">
        <v>8947</v>
      </c>
      <c r="Z618" t="s">
        <v>8948</v>
      </c>
      <c r="AA618" t="s">
        <v>8949</v>
      </c>
      <c r="AB618" t="s">
        <v>8950</v>
      </c>
      <c r="AC618" t="s">
        <v>74</v>
      </c>
      <c r="AD618" t="s">
        <v>74</v>
      </c>
      <c r="AE618" t="s">
        <v>74</v>
      </c>
      <c r="AF618" t="s">
        <v>74</v>
      </c>
      <c r="AG618">
        <v>45</v>
      </c>
      <c r="AH618">
        <v>151</v>
      </c>
      <c r="AI618">
        <v>189</v>
      </c>
      <c r="AJ618">
        <v>0</v>
      </c>
      <c r="AK618">
        <v>46</v>
      </c>
      <c r="AL618" t="s">
        <v>7824</v>
      </c>
      <c r="AM618" t="s">
        <v>1417</v>
      </c>
      <c r="AN618" t="s">
        <v>7825</v>
      </c>
      <c r="AO618" t="s">
        <v>8951</v>
      </c>
      <c r="AP618" t="s">
        <v>8952</v>
      </c>
      <c r="AQ618" t="s">
        <v>74</v>
      </c>
      <c r="AR618" t="s">
        <v>8953</v>
      </c>
      <c r="AS618" t="s">
        <v>8954</v>
      </c>
      <c r="AT618" t="s">
        <v>4117</v>
      </c>
      <c r="AU618">
        <v>2004</v>
      </c>
      <c r="AV618">
        <v>150</v>
      </c>
      <c r="AW618" t="s">
        <v>74</v>
      </c>
      <c r="AX618">
        <v>1</v>
      </c>
      <c r="AY618" t="s">
        <v>74</v>
      </c>
      <c r="AZ618" t="s">
        <v>74</v>
      </c>
      <c r="BA618" t="s">
        <v>74</v>
      </c>
      <c r="BB618">
        <v>171</v>
      </c>
      <c r="BC618">
        <v>180</v>
      </c>
      <c r="BD618" t="s">
        <v>74</v>
      </c>
      <c r="BE618" t="s">
        <v>8955</v>
      </c>
      <c r="BF618" t="str">
        <f>HYPERLINK("http://dx.doi.org/10.1099/mic.0.26610-0","http://dx.doi.org/10.1099/mic.0.26610-0")</f>
        <v>http://dx.doi.org/10.1099/mic.0.26610-0</v>
      </c>
      <c r="BG618" t="s">
        <v>74</v>
      </c>
      <c r="BH618" t="s">
        <v>74</v>
      </c>
      <c r="BI618">
        <v>10</v>
      </c>
      <c r="BJ618" t="s">
        <v>743</v>
      </c>
      <c r="BK618" t="s">
        <v>96</v>
      </c>
      <c r="BL618" t="s">
        <v>743</v>
      </c>
      <c r="BM618" t="s">
        <v>8956</v>
      </c>
      <c r="BN618">
        <v>14702410</v>
      </c>
      <c r="BO618" t="s">
        <v>541</v>
      </c>
      <c r="BP618" t="s">
        <v>74</v>
      </c>
      <c r="BQ618" t="s">
        <v>74</v>
      </c>
      <c r="BR618" t="s">
        <v>99</v>
      </c>
      <c r="BS618" t="s">
        <v>8957</v>
      </c>
      <c r="BT618" t="str">
        <f>HYPERLINK("https%3A%2F%2Fwww.webofscience.com%2Fwos%2Fwoscc%2Ffull-record%2FWOS:000188329200021","View Full Record in Web of Science")</f>
        <v>View Full Record in Web of Science</v>
      </c>
    </row>
    <row r="619" spans="1:72" x14ac:dyDescent="0.15">
      <c r="A619" t="s">
        <v>72</v>
      </c>
      <c r="B619" t="s">
        <v>8958</v>
      </c>
      <c r="C619" t="s">
        <v>74</v>
      </c>
      <c r="D619" t="s">
        <v>74</v>
      </c>
      <c r="E619" t="s">
        <v>74</v>
      </c>
      <c r="F619" t="s">
        <v>8958</v>
      </c>
      <c r="G619" t="s">
        <v>74</v>
      </c>
      <c r="H619" t="s">
        <v>74</v>
      </c>
      <c r="I619" t="s">
        <v>8959</v>
      </c>
      <c r="J619" t="s">
        <v>8960</v>
      </c>
      <c r="K619" t="s">
        <v>74</v>
      </c>
      <c r="L619" t="s">
        <v>74</v>
      </c>
      <c r="M619" t="s">
        <v>77</v>
      </c>
      <c r="N619" t="s">
        <v>311</v>
      </c>
      <c r="O619" t="s">
        <v>8961</v>
      </c>
      <c r="P619" t="s">
        <v>8962</v>
      </c>
      <c r="Q619" t="s">
        <v>8963</v>
      </c>
      <c r="R619" t="s">
        <v>74</v>
      </c>
      <c r="S619" t="s">
        <v>8964</v>
      </c>
      <c r="T619" t="s">
        <v>8965</v>
      </c>
      <c r="U619" t="s">
        <v>74</v>
      </c>
      <c r="V619" t="s">
        <v>8966</v>
      </c>
      <c r="W619" t="s">
        <v>1032</v>
      </c>
      <c r="X619" t="s">
        <v>1033</v>
      </c>
      <c r="Y619" t="s">
        <v>8967</v>
      </c>
      <c r="Z619" t="s">
        <v>8968</v>
      </c>
      <c r="AA619" t="s">
        <v>74</v>
      </c>
      <c r="AB619" t="s">
        <v>1056</v>
      </c>
      <c r="AC619" t="s">
        <v>74</v>
      </c>
      <c r="AD619" t="s">
        <v>74</v>
      </c>
      <c r="AE619" t="s">
        <v>74</v>
      </c>
      <c r="AF619" t="s">
        <v>74</v>
      </c>
      <c r="AG619">
        <v>3</v>
      </c>
      <c r="AH619">
        <v>3</v>
      </c>
      <c r="AI619">
        <v>3</v>
      </c>
      <c r="AJ619">
        <v>1</v>
      </c>
      <c r="AK619">
        <v>8</v>
      </c>
      <c r="AL619" t="s">
        <v>213</v>
      </c>
      <c r="AM619" t="s">
        <v>214</v>
      </c>
      <c r="AN619" t="s">
        <v>215</v>
      </c>
      <c r="AO619" t="s">
        <v>8969</v>
      </c>
      <c r="AP619" t="s">
        <v>74</v>
      </c>
      <c r="AQ619" t="s">
        <v>74</v>
      </c>
      <c r="AR619" t="s">
        <v>8960</v>
      </c>
      <c r="AS619" t="s">
        <v>8970</v>
      </c>
      <c r="AT619" t="s">
        <v>74</v>
      </c>
      <c r="AU619">
        <v>2004</v>
      </c>
      <c r="AV619">
        <v>35</v>
      </c>
      <c r="AW619" t="s">
        <v>536</v>
      </c>
      <c r="AX619" t="s">
        <v>74</v>
      </c>
      <c r="AY619" t="s">
        <v>74</v>
      </c>
      <c r="AZ619" t="s">
        <v>74</v>
      </c>
      <c r="BA619" t="s">
        <v>74</v>
      </c>
      <c r="BB619">
        <v>77</v>
      </c>
      <c r="BC619">
        <v>80</v>
      </c>
      <c r="BD619" t="s">
        <v>74</v>
      </c>
      <c r="BE619" t="s">
        <v>8971</v>
      </c>
      <c r="BF619" t="str">
        <f>HYPERLINK("http://dx.doi.org/10.1016/j.micron.2003.10.023","http://dx.doi.org/10.1016/j.micron.2003.10.023")</f>
        <v>http://dx.doi.org/10.1016/j.micron.2003.10.023</v>
      </c>
      <c r="BG619" t="s">
        <v>74</v>
      </c>
      <c r="BH619" t="s">
        <v>74</v>
      </c>
      <c r="BI619">
        <v>4</v>
      </c>
      <c r="BJ619" t="s">
        <v>8972</v>
      </c>
      <c r="BK619" t="s">
        <v>332</v>
      </c>
      <c r="BL619" t="s">
        <v>8972</v>
      </c>
      <c r="BM619" t="s">
        <v>8973</v>
      </c>
      <c r="BN619">
        <v>15036298</v>
      </c>
      <c r="BO619" t="s">
        <v>74</v>
      </c>
      <c r="BP619" t="s">
        <v>74</v>
      </c>
      <c r="BQ619" t="s">
        <v>74</v>
      </c>
      <c r="BR619" t="s">
        <v>99</v>
      </c>
      <c r="BS619" t="s">
        <v>8974</v>
      </c>
      <c r="BT619" t="str">
        <f>HYPERLINK("https%3A%2F%2Fwww.webofscience.com%2Fwos%2Fwoscc%2Ffull-record%2FWOS:000189223400023","View Full Record in Web of Science")</f>
        <v>View Full Record in Web of Science</v>
      </c>
    </row>
    <row r="620" spans="1:72" x14ac:dyDescent="0.15">
      <c r="A620" t="s">
        <v>3934</v>
      </c>
      <c r="B620" t="s">
        <v>8975</v>
      </c>
      <c r="C620" t="s">
        <v>74</v>
      </c>
      <c r="D620" t="s">
        <v>8976</v>
      </c>
      <c r="E620" t="s">
        <v>74</v>
      </c>
      <c r="F620" t="s">
        <v>8975</v>
      </c>
      <c r="G620" t="s">
        <v>74</v>
      </c>
      <c r="H620" t="s">
        <v>74</v>
      </c>
      <c r="I620" t="s">
        <v>8977</v>
      </c>
      <c r="J620" t="s">
        <v>8978</v>
      </c>
      <c r="K620" t="s">
        <v>7533</v>
      </c>
      <c r="L620" t="s">
        <v>74</v>
      </c>
      <c r="M620" t="s">
        <v>77</v>
      </c>
      <c r="N620" t="s">
        <v>3940</v>
      </c>
      <c r="O620" t="s">
        <v>8979</v>
      </c>
      <c r="P620" t="s">
        <v>8980</v>
      </c>
      <c r="Q620" t="s">
        <v>7536</v>
      </c>
      <c r="R620" t="s">
        <v>74</v>
      </c>
      <c r="S620" t="s">
        <v>74</v>
      </c>
      <c r="T620" t="s">
        <v>8981</v>
      </c>
      <c r="U620" t="s">
        <v>8982</v>
      </c>
      <c r="V620" t="s">
        <v>8983</v>
      </c>
      <c r="W620" t="s">
        <v>8984</v>
      </c>
      <c r="X620" t="s">
        <v>8985</v>
      </c>
      <c r="Y620" t="s">
        <v>8986</v>
      </c>
      <c r="Z620" t="s">
        <v>8987</v>
      </c>
      <c r="AA620" t="s">
        <v>8988</v>
      </c>
      <c r="AB620" t="s">
        <v>8989</v>
      </c>
      <c r="AC620" t="s">
        <v>74</v>
      </c>
      <c r="AD620" t="s">
        <v>74</v>
      </c>
      <c r="AE620" t="s">
        <v>74</v>
      </c>
      <c r="AF620" t="s">
        <v>74</v>
      </c>
      <c r="AG620">
        <v>15</v>
      </c>
      <c r="AH620">
        <v>0</v>
      </c>
      <c r="AI620">
        <v>1</v>
      </c>
      <c r="AJ620">
        <v>0</v>
      </c>
      <c r="AK620">
        <v>0</v>
      </c>
      <c r="AL620" t="s">
        <v>7542</v>
      </c>
      <c r="AM620" t="s">
        <v>7543</v>
      </c>
      <c r="AN620" t="s">
        <v>7544</v>
      </c>
      <c r="AO620" t="s">
        <v>7545</v>
      </c>
      <c r="AP620" t="s">
        <v>7546</v>
      </c>
      <c r="AQ620" t="s">
        <v>8990</v>
      </c>
      <c r="AR620" t="s">
        <v>7548</v>
      </c>
      <c r="AS620" t="s">
        <v>74</v>
      </c>
      <c r="AT620" t="s">
        <v>74</v>
      </c>
      <c r="AU620">
        <v>2004</v>
      </c>
      <c r="AV620">
        <v>5498</v>
      </c>
      <c r="AW620" t="s">
        <v>74</v>
      </c>
      <c r="AX620" t="s">
        <v>74</v>
      </c>
      <c r="AY620" t="s">
        <v>74</v>
      </c>
      <c r="AZ620" t="s">
        <v>74</v>
      </c>
      <c r="BA620" t="s">
        <v>74</v>
      </c>
      <c r="BB620">
        <v>509</v>
      </c>
      <c r="BC620">
        <v>516</v>
      </c>
      <c r="BD620" t="s">
        <v>74</v>
      </c>
      <c r="BE620" t="s">
        <v>8991</v>
      </c>
      <c r="BF620" t="str">
        <f>HYPERLINK("http://dx.doi.org/10.1117/12.550894","http://dx.doi.org/10.1117/12.550894")</f>
        <v>http://dx.doi.org/10.1117/12.550894</v>
      </c>
      <c r="BG620" t="s">
        <v>74</v>
      </c>
      <c r="BH620" t="s">
        <v>74</v>
      </c>
      <c r="BI620">
        <v>8</v>
      </c>
      <c r="BJ620" t="s">
        <v>7567</v>
      </c>
      <c r="BK620" t="s">
        <v>3955</v>
      </c>
      <c r="BL620" t="s">
        <v>7567</v>
      </c>
      <c r="BM620" t="s">
        <v>8992</v>
      </c>
      <c r="BN620" t="s">
        <v>74</v>
      </c>
      <c r="BO620" t="s">
        <v>74</v>
      </c>
      <c r="BP620" t="s">
        <v>74</v>
      </c>
      <c r="BQ620" t="s">
        <v>74</v>
      </c>
      <c r="BR620" t="s">
        <v>99</v>
      </c>
      <c r="BS620" t="s">
        <v>8993</v>
      </c>
      <c r="BT620" t="str">
        <f>HYPERLINK("https%3A%2F%2Fwww.webofscience.com%2Fwos%2Fwoscc%2Ffull-record%2FWOS:000224749800048","View Full Record in Web of Science")</f>
        <v>View Full Record in Web of Science</v>
      </c>
    </row>
    <row r="621" spans="1:72" x14ac:dyDescent="0.15">
      <c r="A621" t="s">
        <v>72</v>
      </c>
      <c r="B621" t="s">
        <v>8994</v>
      </c>
      <c r="C621" t="s">
        <v>74</v>
      </c>
      <c r="D621" t="s">
        <v>74</v>
      </c>
      <c r="E621" t="s">
        <v>74</v>
      </c>
      <c r="F621" t="s">
        <v>8994</v>
      </c>
      <c r="G621" t="s">
        <v>74</v>
      </c>
      <c r="H621" t="s">
        <v>74</v>
      </c>
      <c r="I621" t="s">
        <v>8995</v>
      </c>
      <c r="J621" t="s">
        <v>8996</v>
      </c>
      <c r="K621" t="s">
        <v>74</v>
      </c>
      <c r="L621" t="s">
        <v>74</v>
      </c>
      <c r="M621" t="s">
        <v>77</v>
      </c>
      <c r="N621" t="s">
        <v>78</v>
      </c>
      <c r="O621" t="s">
        <v>74</v>
      </c>
      <c r="P621" t="s">
        <v>74</v>
      </c>
      <c r="Q621" t="s">
        <v>74</v>
      </c>
      <c r="R621" t="s">
        <v>74</v>
      </c>
      <c r="S621" t="s">
        <v>74</v>
      </c>
      <c r="T621" t="s">
        <v>8997</v>
      </c>
      <c r="U621" t="s">
        <v>8998</v>
      </c>
      <c r="V621" t="s">
        <v>8999</v>
      </c>
      <c r="W621" t="s">
        <v>9000</v>
      </c>
      <c r="X621" t="s">
        <v>8630</v>
      </c>
      <c r="Y621" t="s">
        <v>9001</v>
      </c>
      <c r="Z621" t="s">
        <v>1874</v>
      </c>
      <c r="AA621" t="s">
        <v>74</v>
      </c>
      <c r="AB621" t="s">
        <v>9002</v>
      </c>
      <c r="AC621" t="s">
        <v>74</v>
      </c>
      <c r="AD621" t="s">
        <v>74</v>
      </c>
      <c r="AE621" t="s">
        <v>74</v>
      </c>
      <c r="AF621" t="s">
        <v>74</v>
      </c>
      <c r="AG621">
        <v>39</v>
      </c>
      <c r="AH621">
        <v>81</v>
      </c>
      <c r="AI621">
        <v>88</v>
      </c>
      <c r="AJ621">
        <v>2</v>
      </c>
      <c r="AK621">
        <v>27</v>
      </c>
      <c r="AL621" t="s">
        <v>1451</v>
      </c>
      <c r="AM621" t="s">
        <v>1452</v>
      </c>
      <c r="AN621" t="s">
        <v>1453</v>
      </c>
      <c r="AO621" t="s">
        <v>9003</v>
      </c>
      <c r="AP621" t="s">
        <v>9004</v>
      </c>
      <c r="AQ621" t="s">
        <v>74</v>
      </c>
      <c r="AR621" t="s">
        <v>9005</v>
      </c>
      <c r="AS621" t="s">
        <v>9006</v>
      </c>
      <c r="AT621" t="s">
        <v>4117</v>
      </c>
      <c r="AU621">
        <v>2004</v>
      </c>
      <c r="AV621">
        <v>30</v>
      </c>
      <c r="AW621">
        <v>1</v>
      </c>
      <c r="AX621" t="s">
        <v>74</v>
      </c>
      <c r="AY621" t="s">
        <v>74</v>
      </c>
      <c r="AZ621" t="s">
        <v>74</v>
      </c>
      <c r="BA621" t="s">
        <v>74</v>
      </c>
      <c r="BB621">
        <v>167</v>
      </c>
      <c r="BC621">
        <v>177</v>
      </c>
      <c r="BD621" t="s">
        <v>74</v>
      </c>
      <c r="BE621" t="s">
        <v>9007</v>
      </c>
      <c r="BF621" t="str">
        <f>HYPERLINK("http://dx.doi.org/10.1016/S1055-7903(03)00162-3","http://dx.doi.org/10.1016/S1055-7903(03)00162-3")</f>
        <v>http://dx.doi.org/10.1016/S1055-7903(03)00162-3</v>
      </c>
      <c r="BG621" t="s">
        <v>74</v>
      </c>
      <c r="BH621" t="s">
        <v>74</v>
      </c>
      <c r="BI621">
        <v>11</v>
      </c>
      <c r="BJ621" t="s">
        <v>9008</v>
      </c>
      <c r="BK621" t="s">
        <v>96</v>
      </c>
      <c r="BL621" t="s">
        <v>9008</v>
      </c>
      <c r="BM621" t="s">
        <v>9009</v>
      </c>
      <c r="BN621">
        <v>15022767</v>
      </c>
      <c r="BO621" t="s">
        <v>74</v>
      </c>
      <c r="BP621" t="s">
        <v>74</v>
      </c>
      <c r="BQ621" t="s">
        <v>74</v>
      </c>
      <c r="BR621" t="s">
        <v>99</v>
      </c>
      <c r="BS621" t="s">
        <v>9010</v>
      </c>
      <c r="BT621" t="str">
        <f>HYPERLINK("https%3A%2F%2Fwww.webofscience.com%2Fwos%2Fwoscc%2Ffull-record%2FWOS:000187586600015","View Full Record in Web of Science")</f>
        <v>View Full Record in Web of Science</v>
      </c>
    </row>
    <row r="622" spans="1:72" x14ac:dyDescent="0.15">
      <c r="A622" t="s">
        <v>3934</v>
      </c>
      <c r="B622" t="s">
        <v>9011</v>
      </c>
      <c r="C622" t="s">
        <v>74</v>
      </c>
      <c r="D622" t="s">
        <v>9012</v>
      </c>
      <c r="E622" t="s">
        <v>74</v>
      </c>
      <c r="F622" t="s">
        <v>9011</v>
      </c>
      <c r="G622" t="s">
        <v>74</v>
      </c>
      <c r="H622" t="s">
        <v>74</v>
      </c>
      <c r="I622" t="s">
        <v>9013</v>
      </c>
      <c r="J622" t="s">
        <v>9014</v>
      </c>
      <c r="K622" t="s">
        <v>9015</v>
      </c>
      <c r="L622" t="s">
        <v>74</v>
      </c>
      <c r="M622" t="s">
        <v>77</v>
      </c>
      <c r="N622" t="s">
        <v>3940</v>
      </c>
      <c r="O622" t="s">
        <v>9016</v>
      </c>
      <c r="P622" t="s">
        <v>9017</v>
      </c>
      <c r="Q622" t="s">
        <v>9018</v>
      </c>
      <c r="R622" t="s">
        <v>74</v>
      </c>
      <c r="S622" t="s">
        <v>9019</v>
      </c>
      <c r="T622" t="s">
        <v>9020</v>
      </c>
      <c r="U622" t="s">
        <v>9021</v>
      </c>
      <c r="V622" t="s">
        <v>9022</v>
      </c>
      <c r="W622" t="s">
        <v>9023</v>
      </c>
      <c r="X622" t="s">
        <v>7478</v>
      </c>
      <c r="Y622" t="s">
        <v>9024</v>
      </c>
      <c r="Z622" t="s">
        <v>9025</v>
      </c>
      <c r="AA622" t="s">
        <v>74</v>
      </c>
      <c r="AB622" t="s">
        <v>74</v>
      </c>
      <c r="AC622" t="s">
        <v>74</v>
      </c>
      <c r="AD622" t="s">
        <v>74</v>
      </c>
      <c r="AE622" t="s">
        <v>74</v>
      </c>
      <c r="AF622" t="s">
        <v>74</v>
      </c>
      <c r="AG622">
        <v>71</v>
      </c>
      <c r="AH622">
        <v>3</v>
      </c>
      <c r="AI622">
        <v>5</v>
      </c>
      <c r="AJ622">
        <v>0</v>
      </c>
      <c r="AK622">
        <v>14</v>
      </c>
      <c r="AL622" t="s">
        <v>5371</v>
      </c>
      <c r="AM622" t="s">
        <v>5372</v>
      </c>
      <c r="AN622" t="s">
        <v>9026</v>
      </c>
      <c r="AO622" t="s">
        <v>9027</v>
      </c>
      <c r="AP622" t="s">
        <v>74</v>
      </c>
      <c r="AQ622" t="s">
        <v>9028</v>
      </c>
      <c r="AR622" t="s">
        <v>9029</v>
      </c>
      <c r="AS622" t="s">
        <v>9030</v>
      </c>
      <c r="AT622" t="s">
        <v>74</v>
      </c>
      <c r="AU622">
        <v>2004</v>
      </c>
      <c r="AV622">
        <v>98</v>
      </c>
      <c r="AW622" t="s">
        <v>74</v>
      </c>
      <c r="AX622" t="s">
        <v>74</v>
      </c>
      <c r="AY622" t="s">
        <v>74</v>
      </c>
      <c r="AZ622" t="s">
        <v>74</v>
      </c>
      <c r="BA622" t="s">
        <v>74</v>
      </c>
      <c r="BB622">
        <v>388</v>
      </c>
      <c r="BC622">
        <v>403</v>
      </c>
      <c r="BD622" t="s">
        <v>74</v>
      </c>
      <c r="BE622" t="s">
        <v>74</v>
      </c>
      <c r="BF622" t="s">
        <v>74</v>
      </c>
      <c r="BG622" t="s">
        <v>74</v>
      </c>
      <c r="BH622" t="s">
        <v>74</v>
      </c>
      <c r="BI622">
        <v>16</v>
      </c>
      <c r="BJ622" t="s">
        <v>1903</v>
      </c>
      <c r="BK622" t="s">
        <v>3955</v>
      </c>
      <c r="BL622" t="s">
        <v>1903</v>
      </c>
      <c r="BM622" t="s">
        <v>9031</v>
      </c>
      <c r="BN622" t="s">
        <v>74</v>
      </c>
      <c r="BO622" t="s">
        <v>74</v>
      </c>
      <c r="BP622" t="s">
        <v>74</v>
      </c>
      <c r="BQ622" t="s">
        <v>74</v>
      </c>
      <c r="BR622" t="s">
        <v>99</v>
      </c>
      <c r="BS622" t="s">
        <v>9032</v>
      </c>
      <c r="BT622" t="str">
        <f>HYPERLINK("https%3A%2F%2Fwww.webofscience.com%2Fwos%2Fwoscc%2Ffull-record%2FWOS:000228941800019","View Full Record in Web of Science")</f>
        <v>View Full Record in Web of Science</v>
      </c>
    </row>
    <row r="623" spans="1:72" x14ac:dyDescent="0.15">
      <c r="A623" t="s">
        <v>3934</v>
      </c>
      <c r="B623" t="s">
        <v>9033</v>
      </c>
      <c r="C623" t="s">
        <v>74</v>
      </c>
      <c r="D623" t="s">
        <v>9034</v>
      </c>
      <c r="E623" t="s">
        <v>74</v>
      </c>
      <c r="F623" t="s">
        <v>9033</v>
      </c>
      <c r="G623" t="s">
        <v>74</v>
      </c>
      <c r="H623" t="s">
        <v>74</v>
      </c>
      <c r="I623" t="s">
        <v>9035</v>
      </c>
      <c r="J623" t="s">
        <v>9036</v>
      </c>
      <c r="K623" t="s">
        <v>9037</v>
      </c>
      <c r="L623" t="s">
        <v>74</v>
      </c>
      <c r="M623" t="s">
        <v>77</v>
      </c>
      <c r="N623" t="s">
        <v>3940</v>
      </c>
      <c r="O623" t="s">
        <v>9038</v>
      </c>
      <c r="P623" t="s">
        <v>9039</v>
      </c>
      <c r="Q623" t="s">
        <v>9040</v>
      </c>
      <c r="R623" t="s">
        <v>74</v>
      </c>
      <c r="S623" t="s">
        <v>74</v>
      </c>
      <c r="T623" t="s">
        <v>74</v>
      </c>
      <c r="U623" t="s">
        <v>9041</v>
      </c>
      <c r="V623" t="s">
        <v>9042</v>
      </c>
      <c r="W623" t="s">
        <v>9043</v>
      </c>
      <c r="X623" t="s">
        <v>9044</v>
      </c>
      <c r="Y623" t="s">
        <v>9045</v>
      </c>
      <c r="Z623" t="s">
        <v>74</v>
      </c>
      <c r="AA623" t="s">
        <v>74</v>
      </c>
      <c r="AB623" t="s">
        <v>74</v>
      </c>
      <c r="AC623" t="s">
        <v>74</v>
      </c>
      <c r="AD623" t="s">
        <v>74</v>
      </c>
      <c r="AE623" t="s">
        <v>74</v>
      </c>
      <c r="AF623" t="s">
        <v>74</v>
      </c>
      <c r="AG623">
        <v>31</v>
      </c>
      <c r="AH623">
        <v>12</v>
      </c>
      <c r="AI623">
        <v>20</v>
      </c>
      <c r="AJ623">
        <v>2</v>
      </c>
      <c r="AK623">
        <v>5</v>
      </c>
      <c r="AL623" t="s">
        <v>528</v>
      </c>
      <c r="AM623" t="s">
        <v>529</v>
      </c>
      <c r="AN623" t="s">
        <v>4157</v>
      </c>
      <c r="AO623" t="s">
        <v>9046</v>
      </c>
      <c r="AP623" t="s">
        <v>74</v>
      </c>
      <c r="AQ623" t="s">
        <v>9047</v>
      </c>
      <c r="AR623" t="s">
        <v>9048</v>
      </c>
      <c r="AS623" t="s">
        <v>74</v>
      </c>
      <c r="AT623" t="s">
        <v>74</v>
      </c>
      <c r="AU623">
        <v>2004</v>
      </c>
      <c r="AV623">
        <v>42</v>
      </c>
      <c r="AW623" t="s">
        <v>74</v>
      </c>
      <c r="AX623" t="s">
        <v>74</v>
      </c>
      <c r="AY623" t="s">
        <v>74</v>
      </c>
      <c r="AZ623" t="s">
        <v>74</v>
      </c>
      <c r="BA623" t="s">
        <v>74</v>
      </c>
      <c r="BB623">
        <v>45</v>
      </c>
      <c r="BC623">
        <v>54</v>
      </c>
      <c r="BD623" t="s">
        <v>74</v>
      </c>
      <c r="BE623" t="s">
        <v>74</v>
      </c>
      <c r="BF623" t="s">
        <v>74</v>
      </c>
      <c r="BG623" t="s">
        <v>74</v>
      </c>
      <c r="BH623" t="s">
        <v>74</v>
      </c>
      <c r="BI623">
        <v>10</v>
      </c>
      <c r="BJ623" t="s">
        <v>9049</v>
      </c>
      <c r="BK623" t="s">
        <v>3955</v>
      </c>
      <c r="BL623" t="s">
        <v>9049</v>
      </c>
      <c r="BM623" t="s">
        <v>9050</v>
      </c>
      <c r="BN623" t="s">
        <v>74</v>
      </c>
      <c r="BO623" t="s">
        <v>74</v>
      </c>
      <c r="BP623" t="s">
        <v>74</v>
      </c>
      <c r="BQ623" t="s">
        <v>74</v>
      </c>
      <c r="BR623" t="s">
        <v>99</v>
      </c>
      <c r="BS623" t="s">
        <v>9051</v>
      </c>
      <c r="BT623" t="str">
        <f>HYPERLINK("https%3A%2F%2Fwww.webofscience.com%2Fwos%2Fwoscc%2Ffull-record%2FWOS:000223277700004","View Full Record in Web of Science")</f>
        <v>View Full Record in Web of Science</v>
      </c>
    </row>
    <row r="624" spans="1:72" x14ac:dyDescent="0.15">
      <c r="A624" t="s">
        <v>72</v>
      </c>
      <c r="B624" t="s">
        <v>9052</v>
      </c>
      <c r="C624" t="s">
        <v>74</v>
      </c>
      <c r="D624" t="s">
        <v>74</v>
      </c>
      <c r="E624" t="s">
        <v>74</v>
      </c>
      <c r="F624" t="s">
        <v>9052</v>
      </c>
      <c r="G624" t="s">
        <v>74</v>
      </c>
      <c r="H624" t="s">
        <v>74</v>
      </c>
      <c r="I624" t="s">
        <v>9053</v>
      </c>
      <c r="J624" t="s">
        <v>9054</v>
      </c>
      <c r="K624" t="s">
        <v>74</v>
      </c>
      <c r="L624" t="s">
        <v>74</v>
      </c>
      <c r="M624" t="s">
        <v>77</v>
      </c>
      <c r="N624" t="s">
        <v>78</v>
      </c>
      <c r="O624" t="s">
        <v>74</v>
      </c>
      <c r="P624" t="s">
        <v>74</v>
      </c>
      <c r="Q624" t="s">
        <v>74</v>
      </c>
      <c r="R624" t="s">
        <v>74</v>
      </c>
      <c r="S624" t="s">
        <v>74</v>
      </c>
      <c r="T624" t="s">
        <v>9055</v>
      </c>
      <c r="U624" t="s">
        <v>9056</v>
      </c>
      <c r="V624" t="s">
        <v>9057</v>
      </c>
      <c r="W624" t="s">
        <v>9058</v>
      </c>
      <c r="X624" t="s">
        <v>9059</v>
      </c>
      <c r="Y624" t="s">
        <v>9060</v>
      </c>
      <c r="Z624" t="s">
        <v>9061</v>
      </c>
      <c r="AA624" t="s">
        <v>9062</v>
      </c>
      <c r="AB624" t="s">
        <v>9063</v>
      </c>
      <c r="AC624" t="s">
        <v>74</v>
      </c>
      <c r="AD624" t="s">
        <v>74</v>
      </c>
      <c r="AE624" t="s">
        <v>74</v>
      </c>
      <c r="AF624" t="s">
        <v>74</v>
      </c>
      <c r="AG624">
        <v>45</v>
      </c>
      <c r="AH624">
        <v>18</v>
      </c>
      <c r="AI624">
        <v>18</v>
      </c>
      <c r="AJ624">
        <v>2</v>
      </c>
      <c r="AK624">
        <v>23</v>
      </c>
      <c r="AL624" t="s">
        <v>9064</v>
      </c>
      <c r="AM624" t="s">
        <v>9065</v>
      </c>
      <c r="AN624" t="s">
        <v>9066</v>
      </c>
      <c r="AO624" t="s">
        <v>9067</v>
      </c>
      <c r="AP624" t="s">
        <v>74</v>
      </c>
      <c r="AQ624" t="s">
        <v>74</v>
      </c>
      <c r="AR624" t="s">
        <v>9054</v>
      </c>
      <c r="AS624" t="s">
        <v>9068</v>
      </c>
      <c r="AT624" t="s">
        <v>74</v>
      </c>
      <c r="AU624">
        <v>2004</v>
      </c>
      <c r="AV624">
        <v>6</v>
      </c>
      <c r="AW624" t="s">
        <v>74</v>
      </c>
      <c r="AX624">
        <v>6</v>
      </c>
      <c r="AY624" t="s">
        <v>74</v>
      </c>
      <c r="AZ624" t="s">
        <v>74</v>
      </c>
      <c r="BA624" t="s">
        <v>74</v>
      </c>
      <c r="BB624">
        <v>883</v>
      </c>
      <c r="BC624">
        <v>890</v>
      </c>
      <c r="BD624" t="s">
        <v>74</v>
      </c>
      <c r="BE624" t="s">
        <v>9069</v>
      </c>
      <c r="BF624" t="str">
        <f>HYPERLINK("http://dx.doi.org/10.1163/1568541044038641","http://dx.doi.org/10.1163/1568541044038641")</f>
        <v>http://dx.doi.org/10.1163/1568541044038641</v>
      </c>
      <c r="BG624" t="s">
        <v>74</v>
      </c>
      <c r="BH624" t="s">
        <v>74</v>
      </c>
      <c r="BI624">
        <v>8</v>
      </c>
      <c r="BJ624" t="s">
        <v>331</v>
      </c>
      <c r="BK624" t="s">
        <v>96</v>
      </c>
      <c r="BL624" t="s">
        <v>331</v>
      </c>
      <c r="BM624" t="s">
        <v>9070</v>
      </c>
      <c r="BN624" t="s">
        <v>74</v>
      </c>
      <c r="BO624" t="s">
        <v>74</v>
      </c>
      <c r="BP624" t="s">
        <v>74</v>
      </c>
      <c r="BQ624" t="s">
        <v>74</v>
      </c>
      <c r="BR624" t="s">
        <v>99</v>
      </c>
      <c r="BS624" t="s">
        <v>9071</v>
      </c>
      <c r="BT624" t="str">
        <f>HYPERLINK("https%3A%2F%2Fwww.webofscience.com%2Fwos%2Fwoscc%2Ffull-record%2FWOS:000230386600009","View Full Record in Web of Science")</f>
        <v>View Full Record in Web of Science</v>
      </c>
    </row>
    <row r="625" spans="1:72" x14ac:dyDescent="0.15">
      <c r="A625" t="s">
        <v>3934</v>
      </c>
      <c r="B625" t="s">
        <v>9072</v>
      </c>
      <c r="C625" t="s">
        <v>74</v>
      </c>
      <c r="D625" t="s">
        <v>9073</v>
      </c>
      <c r="E625" t="s">
        <v>74</v>
      </c>
      <c r="F625" t="s">
        <v>9072</v>
      </c>
      <c r="G625" t="s">
        <v>74</v>
      </c>
      <c r="H625" t="s">
        <v>74</v>
      </c>
      <c r="I625" t="s">
        <v>9074</v>
      </c>
      <c r="J625" t="s">
        <v>9075</v>
      </c>
      <c r="K625" t="s">
        <v>7533</v>
      </c>
      <c r="L625" t="s">
        <v>74</v>
      </c>
      <c r="M625" t="s">
        <v>77</v>
      </c>
      <c r="N625" t="s">
        <v>3940</v>
      </c>
      <c r="O625" t="s">
        <v>9076</v>
      </c>
      <c r="P625" t="s">
        <v>7535</v>
      </c>
      <c r="Q625" t="s">
        <v>7536</v>
      </c>
      <c r="R625" t="s">
        <v>74</v>
      </c>
      <c r="S625" t="s">
        <v>74</v>
      </c>
      <c r="T625" t="s">
        <v>9077</v>
      </c>
      <c r="U625" t="s">
        <v>9078</v>
      </c>
      <c r="V625" t="s">
        <v>9079</v>
      </c>
      <c r="W625" t="s">
        <v>2238</v>
      </c>
      <c r="X625" t="s">
        <v>1562</v>
      </c>
      <c r="Y625" t="s">
        <v>9080</v>
      </c>
      <c r="Z625" t="s">
        <v>74</v>
      </c>
      <c r="AA625" t="s">
        <v>74</v>
      </c>
      <c r="AB625" t="s">
        <v>74</v>
      </c>
      <c r="AC625" t="s">
        <v>74</v>
      </c>
      <c r="AD625" t="s">
        <v>74</v>
      </c>
      <c r="AE625" t="s">
        <v>74</v>
      </c>
      <c r="AF625" t="s">
        <v>74</v>
      </c>
      <c r="AG625">
        <v>27</v>
      </c>
      <c r="AH625">
        <v>5</v>
      </c>
      <c r="AI625">
        <v>5</v>
      </c>
      <c r="AJ625">
        <v>0</v>
      </c>
      <c r="AK625">
        <v>0</v>
      </c>
      <c r="AL625" t="s">
        <v>7542</v>
      </c>
      <c r="AM625" t="s">
        <v>7543</v>
      </c>
      <c r="AN625" t="s">
        <v>7544</v>
      </c>
      <c r="AO625" t="s">
        <v>7545</v>
      </c>
      <c r="AP625" t="s">
        <v>7546</v>
      </c>
      <c r="AQ625" t="s">
        <v>9081</v>
      </c>
      <c r="AR625" t="s">
        <v>7548</v>
      </c>
      <c r="AS625" t="s">
        <v>74</v>
      </c>
      <c r="AT625" t="s">
        <v>74</v>
      </c>
      <c r="AU625">
        <v>2004</v>
      </c>
      <c r="AV625">
        <v>5491</v>
      </c>
      <c r="AW625" t="s">
        <v>74</v>
      </c>
      <c r="AX625" t="s">
        <v>3766</v>
      </c>
      <c r="AY625" t="s">
        <v>74</v>
      </c>
      <c r="AZ625" t="s">
        <v>74</v>
      </c>
      <c r="BA625" t="s">
        <v>74</v>
      </c>
      <c r="BB625">
        <v>169</v>
      </c>
      <c r="BC625">
        <v>175</v>
      </c>
      <c r="BD625" t="s">
        <v>74</v>
      </c>
      <c r="BE625" t="s">
        <v>9082</v>
      </c>
      <c r="BF625" t="str">
        <f>HYPERLINK("http://dx.doi.org/10.1117/12.548838","http://dx.doi.org/10.1117/12.548838")</f>
        <v>http://dx.doi.org/10.1117/12.548838</v>
      </c>
      <c r="BG625" t="s">
        <v>74</v>
      </c>
      <c r="BH625" t="s">
        <v>74</v>
      </c>
      <c r="BI625">
        <v>7</v>
      </c>
      <c r="BJ625" t="s">
        <v>9083</v>
      </c>
      <c r="BK625" t="s">
        <v>3955</v>
      </c>
      <c r="BL625" t="s">
        <v>9083</v>
      </c>
      <c r="BM625" t="s">
        <v>9084</v>
      </c>
      <c r="BN625" t="s">
        <v>74</v>
      </c>
      <c r="BO625" t="s">
        <v>74</v>
      </c>
      <c r="BP625" t="s">
        <v>74</v>
      </c>
      <c r="BQ625" t="s">
        <v>74</v>
      </c>
      <c r="BR625" t="s">
        <v>99</v>
      </c>
      <c r="BS625" t="s">
        <v>9085</v>
      </c>
      <c r="BT625" t="str">
        <f>HYPERLINK("https%3A%2F%2Fwww.webofscience.com%2Fwos%2Fwoscc%2Ffull-record%2FWOS:000225390000020","View Full Record in Web of Science")</f>
        <v>View Full Record in Web of Science</v>
      </c>
    </row>
    <row r="626" spans="1:72" x14ac:dyDescent="0.15">
      <c r="A626" t="s">
        <v>3934</v>
      </c>
      <c r="B626" t="s">
        <v>9086</v>
      </c>
      <c r="C626" t="s">
        <v>74</v>
      </c>
      <c r="D626" t="s">
        <v>9073</v>
      </c>
      <c r="E626" t="s">
        <v>74</v>
      </c>
      <c r="F626" t="s">
        <v>9086</v>
      </c>
      <c r="G626" t="s">
        <v>74</v>
      </c>
      <c r="H626" t="s">
        <v>74</v>
      </c>
      <c r="I626" t="s">
        <v>9087</v>
      </c>
      <c r="J626" t="s">
        <v>9075</v>
      </c>
      <c r="K626" t="s">
        <v>7572</v>
      </c>
      <c r="L626" t="s">
        <v>74</v>
      </c>
      <c r="M626" t="s">
        <v>77</v>
      </c>
      <c r="N626" t="s">
        <v>3940</v>
      </c>
      <c r="O626" t="s">
        <v>9076</v>
      </c>
      <c r="P626" t="s">
        <v>7535</v>
      </c>
      <c r="Q626" t="s">
        <v>7536</v>
      </c>
      <c r="R626" t="s">
        <v>74</v>
      </c>
      <c r="S626" t="s">
        <v>74</v>
      </c>
      <c r="T626" t="s">
        <v>9088</v>
      </c>
      <c r="U626" t="s">
        <v>9089</v>
      </c>
      <c r="V626" t="s">
        <v>9090</v>
      </c>
      <c r="W626" t="s">
        <v>3945</v>
      </c>
      <c r="X626" t="s">
        <v>9091</v>
      </c>
      <c r="Y626" t="s">
        <v>9092</v>
      </c>
      <c r="Z626" t="s">
        <v>74</v>
      </c>
      <c r="AA626" t="s">
        <v>9093</v>
      </c>
      <c r="AB626" t="s">
        <v>9094</v>
      </c>
      <c r="AC626" t="s">
        <v>74</v>
      </c>
      <c r="AD626" t="s">
        <v>74</v>
      </c>
      <c r="AE626" t="s">
        <v>74</v>
      </c>
      <c r="AF626" t="s">
        <v>74</v>
      </c>
      <c r="AG626">
        <v>54</v>
      </c>
      <c r="AH626">
        <v>9</v>
      </c>
      <c r="AI626">
        <v>9</v>
      </c>
      <c r="AJ626">
        <v>0</v>
      </c>
      <c r="AK626">
        <v>0</v>
      </c>
      <c r="AL626" t="s">
        <v>7542</v>
      </c>
      <c r="AM626" t="s">
        <v>7543</v>
      </c>
      <c r="AN626" t="s">
        <v>7544</v>
      </c>
      <c r="AO626" t="s">
        <v>7545</v>
      </c>
      <c r="AP626" t="s">
        <v>74</v>
      </c>
      <c r="AQ626" t="s">
        <v>9081</v>
      </c>
      <c r="AR626" t="s">
        <v>7577</v>
      </c>
      <c r="AS626" t="s">
        <v>74</v>
      </c>
      <c r="AT626" t="s">
        <v>74</v>
      </c>
      <c r="AU626">
        <v>2004</v>
      </c>
      <c r="AV626">
        <v>5491</v>
      </c>
      <c r="AW626" t="s">
        <v>74</v>
      </c>
      <c r="AX626" t="s">
        <v>3766</v>
      </c>
      <c r="AY626" t="s">
        <v>74</v>
      </c>
      <c r="AZ626" t="s">
        <v>74</v>
      </c>
      <c r="BA626" t="s">
        <v>74</v>
      </c>
      <c r="BB626">
        <v>176</v>
      </c>
      <c r="BC626">
        <v>185</v>
      </c>
      <c r="BD626" t="s">
        <v>74</v>
      </c>
      <c r="BE626" t="s">
        <v>9095</v>
      </c>
      <c r="BF626" t="str">
        <f>HYPERLINK("http://dx.doi.org/10.1117/12.552221","http://dx.doi.org/10.1117/12.552221")</f>
        <v>http://dx.doi.org/10.1117/12.552221</v>
      </c>
      <c r="BG626" t="s">
        <v>74</v>
      </c>
      <c r="BH626" t="s">
        <v>74</v>
      </c>
      <c r="BI626">
        <v>10</v>
      </c>
      <c r="BJ626" t="s">
        <v>9083</v>
      </c>
      <c r="BK626" t="s">
        <v>3955</v>
      </c>
      <c r="BL626" t="s">
        <v>9083</v>
      </c>
      <c r="BM626" t="s">
        <v>9084</v>
      </c>
      <c r="BN626" t="s">
        <v>74</v>
      </c>
      <c r="BO626" t="s">
        <v>188</v>
      </c>
      <c r="BP626" t="s">
        <v>74</v>
      </c>
      <c r="BQ626" t="s">
        <v>74</v>
      </c>
      <c r="BR626" t="s">
        <v>99</v>
      </c>
      <c r="BS626" t="s">
        <v>9096</v>
      </c>
      <c r="BT626" t="str">
        <f>HYPERLINK("https%3A%2F%2Fwww.webofscience.com%2Fwos%2Fwoscc%2Ffull-record%2FWOS:000225390000021","View Full Record in Web of Science")</f>
        <v>View Full Record in Web of Science</v>
      </c>
    </row>
    <row r="627" spans="1:72" x14ac:dyDescent="0.15">
      <c r="A627" t="s">
        <v>3934</v>
      </c>
      <c r="B627" t="s">
        <v>9097</v>
      </c>
      <c r="C627" t="s">
        <v>74</v>
      </c>
      <c r="D627" t="s">
        <v>9073</v>
      </c>
      <c r="E627" t="s">
        <v>74</v>
      </c>
      <c r="F627" t="s">
        <v>9097</v>
      </c>
      <c r="G627" t="s">
        <v>74</v>
      </c>
      <c r="H627" t="s">
        <v>74</v>
      </c>
      <c r="I627" t="s">
        <v>9098</v>
      </c>
      <c r="J627" t="s">
        <v>9075</v>
      </c>
      <c r="K627" t="s">
        <v>7533</v>
      </c>
      <c r="L627" t="s">
        <v>74</v>
      </c>
      <c r="M627" t="s">
        <v>77</v>
      </c>
      <c r="N627" t="s">
        <v>3940</v>
      </c>
      <c r="O627" t="s">
        <v>9076</v>
      </c>
      <c r="P627" t="s">
        <v>7535</v>
      </c>
      <c r="Q627" t="s">
        <v>7536</v>
      </c>
      <c r="R627" t="s">
        <v>74</v>
      </c>
      <c r="S627" t="s">
        <v>74</v>
      </c>
      <c r="T627" t="s">
        <v>9099</v>
      </c>
      <c r="U627" t="s">
        <v>9100</v>
      </c>
      <c r="V627" t="s">
        <v>9101</v>
      </c>
      <c r="W627" t="s">
        <v>9102</v>
      </c>
      <c r="X627" t="s">
        <v>9103</v>
      </c>
      <c r="Y627" t="s">
        <v>9104</v>
      </c>
      <c r="Z627" t="s">
        <v>74</v>
      </c>
      <c r="AA627" t="s">
        <v>74</v>
      </c>
      <c r="AB627" t="s">
        <v>74</v>
      </c>
      <c r="AC627" t="s">
        <v>74</v>
      </c>
      <c r="AD627" t="s">
        <v>74</v>
      </c>
      <c r="AE627" t="s">
        <v>74</v>
      </c>
      <c r="AF627" t="s">
        <v>74</v>
      </c>
      <c r="AG627">
        <v>8</v>
      </c>
      <c r="AH627">
        <v>0</v>
      </c>
      <c r="AI627">
        <v>0</v>
      </c>
      <c r="AJ627">
        <v>0</v>
      </c>
      <c r="AK627">
        <v>0</v>
      </c>
      <c r="AL627" t="s">
        <v>7542</v>
      </c>
      <c r="AM627" t="s">
        <v>7543</v>
      </c>
      <c r="AN627" t="s">
        <v>7544</v>
      </c>
      <c r="AO627" t="s">
        <v>7545</v>
      </c>
      <c r="AP627" t="s">
        <v>7546</v>
      </c>
      <c r="AQ627" t="s">
        <v>9081</v>
      </c>
      <c r="AR627" t="s">
        <v>7548</v>
      </c>
      <c r="AS627" t="s">
        <v>74</v>
      </c>
      <c r="AT627" t="s">
        <v>74</v>
      </c>
      <c r="AU627">
        <v>2004</v>
      </c>
      <c r="AV627">
        <v>5491</v>
      </c>
      <c r="AW627" t="s">
        <v>74</v>
      </c>
      <c r="AX627" t="s">
        <v>3766</v>
      </c>
      <c r="AY627" t="s">
        <v>74</v>
      </c>
      <c r="AZ627" t="s">
        <v>74</v>
      </c>
      <c r="BA627" t="s">
        <v>74</v>
      </c>
      <c r="BB627">
        <v>186</v>
      </c>
      <c r="BC627">
        <v>189</v>
      </c>
      <c r="BD627" t="s">
        <v>74</v>
      </c>
      <c r="BE627" t="s">
        <v>9105</v>
      </c>
      <c r="BF627" t="str">
        <f>HYPERLINK("http://dx.doi.org/10.1117/12.553010","http://dx.doi.org/10.1117/12.553010")</f>
        <v>http://dx.doi.org/10.1117/12.553010</v>
      </c>
      <c r="BG627" t="s">
        <v>74</v>
      </c>
      <c r="BH627" t="s">
        <v>74</v>
      </c>
      <c r="BI627">
        <v>4</v>
      </c>
      <c r="BJ627" t="s">
        <v>9083</v>
      </c>
      <c r="BK627" t="s">
        <v>3955</v>
      </c>
      <c r="BL627" t="s">
        <v>9083</v>
      </c>
      <c r="BM627" t="s">
        <v>9084</v>
      </c>
      <c r="BN627" t="s">
        <v>74</v>
      </c>
      <c r="BO627" t="s">
        <v>74</v>
      </c>
      <c r="BP627" t="s">
        <v>74</v>
      </c>
      <c r="BQ627" t="s">
        <v>74</v>
      </c>
      <c r="BR627" t="s">
        <v>99</v>
      </c>
      <c r="BS627" t="s">
        <v>9106</v>
      </c>
      <c r="BT627" t="str">
        <f>HYPERLINK("https%3A%2F%2Fwww.webofscience.com%2Fwos%2Fwoscc%2Ffull-record%2FWOS:000225390000022","View Full Record in Web of Science")</f>
        <v>View Full Record in Web of Science</v>
      </c>
    </row>
    <row r="628" spans="1:72" x14ac:dyDescent="0.15">
      <c r="A628" t="s">
        <v>3934</v>
      </c>
      <c r="B628" t="s">
        <v>9107</v>
      </c>
      <c r="C628" t="s">
        <v>74</v>
      </c>
      <c r="D628" t="s">
        <v>9073</v>
      </c>
      <c r="E628" t="s">
        <v>74</v>
      </c>
      <c r="F628" t="s">
        <v>9107</v>
      </c>
      <c r="G628" t="s">
        <v>74</v>
      </c>
      <c r="H628" t="s">
        <v>74</v>
      </c>
      <c r="I628" t="s">
        <v>9108</v>
      </c>
      <c r="J628" t="s">
        <v>9075</v>
      </c>
      <c r="K628" t="s">
        <v>7533</v>
      </c>
      <c r="L628" t="s">
        <v>74</v>
      </c>
      <c r="M628" t="s">
        <v>77</v>
      </c>
      <c r="N628" t="s">
        <v>3940</v>
      </c>
      <c r="O628" t="s">
        <v>9076</v>
      </c>
      <c r="P628" t="s">
        <v>7535</v>
      </c>
      <c r="Q628" t="s">
        <v>7536</v>
      </c>
      <c r="R628" t="s">
        <v>74</v>
      </c>
      <c r="S628" t="s">
        <v>74</v>
      </c>
      <c r="T628" t="s">
        <v>9109</v>
      </c>
      <c r="U628" t="s">
        <v>9110</v>
      </c>
      <c r="V628" t="s">
        <v>9111</v>
      </c>
      <c r="W628" t="s">
        <v>9112</v>
      </c>
      <c r="X628" t="s">
        <v>9113</v>
      </c>
      <c r="Y628" t="s">
        <v>9114</v>
      </c>
      <c r="Z628" t="s">
        <v>9115</v>
      </c>
      <c r="AA628" t="s">
        <v>9116</v>
      </c>
      <c r="AB628" t="s">
        <v>74</v>
      </c>
      <c r="AC628" t="s">
        <v>74</v>
      </c>
      <c r="AD628" t="s">
        <v>74</v>
      </c>
      <c r="AE628" t="s">
        <v>74</v>
      </c>
      <c r="AF628" t="s">
        <v>74</v>
      </c>
      <c r="AG628">
        <v>26</v>
      </c>
      <c r="AH628">
        <v>14</v>
      </c>
      <c r="AI628">
        <v>14</v>
      </c>
      <c r="AJ628">
        <v>0</v>
      </c>
      <c r="AK628">
        <v>1</v>
      </c>
      <c r="AL628" t="s">
        <v>7542</v>
      </c>
      <c r="AM628" t="s">
        <v>7543</v>
      </c>
      <c r="AN628" t="s">
        <v>7544</v>
      </c>
      <c r="AO628" t="s">
        <v>7545</v>
      </c>
      <c r="AP628" t="s">
        <v>7546</v>
      </c>
      <c r="AQ628" t="s">
        <v>9081</v>
      </c>
      <c r="AR628" t="s">
        <v>7548</v>
      </c>
      <c r="AS628" t="s">
        <v>74</v>
      </c>
      <c r="AT628" t="s">
        <v>74</v>
      </c>
      <c r="AU628">
        <v>2004</v>
      </c>
      <c r="AV628">
        <v>5491</v>
      </c>
      <c r="AW628" t="s">
        <v>74</v>
      </c>
      <c r="AX628" t="s">
        <v>3766</v>
      </c>
      <c r="AY628" t="s">
        <v>74</v>
      </c>
      <c r="AZ628" t="s">
        <v>74</v>
      </c>
      <c r="BA628" t="s">
        <v>74</v>
      </c>
      <c r="BB628">
        <v>190</v>
      </c>
      <c r="BC628">
        <v>198</v>
      </c>
      <c r="BD628" t="s">
        <v>74</v>
      </c>
      <c r="BE628" t="s">
        <v>9117</v>
      </c>
      <c r="BF628" t="str">
        <f>HYPERLINK("http://dx.doi.org/10.1117/12.552226","http://dx.doi.org/10.1117/12.552226")</f>
        <v>http://dx.doi.org/10.1117/12.552226</v>
      </c>
      <c r="BG628" t="s">
        <v>74</v>
      </c>
      <c r="BH628" t="s">
        <v>74</v>
      </c>
      <c r="BI628">
        <v>9</v>
      </c>
      <c r="BJ628" t="s">
        <v>9083</v>
      </c>
      <c r="BK628" t="s">
        <v>3955</v>
      </c>
      <c r="BL628" t="s">
        <v>9083</v>
      </c>
      <c r="BM628" t="s">
        <v>9084</v>
      </c>
      <c r="BN628" t="s">
        <v>74</v>
      </c>
      <c r="BO628" t="s">
        <v>156</v>
      </c>
      <c r="BP628" t="s">
        <v>74</v>
      </c>
      <c r="BQ628" t="s">
        <v>74</v>
      </c>
      <c r="BR628" t="s">
        <v>99</v>
      </c>
      <c r="BS628" t="s">
        <v>9118</v>
      </c>
      <c r="BT628" t="str">
        <f>HYPERLINK("https%3A%2F%2Fwww.webofscience.com%2Fwos%2Fwoscc%2Ffull-record%2FWOS:000225390000023","View Full Record in Web of Science")</f>
        <v>View Full Record in Web of Science</v>
      </c>
    </row>
    <row r="629" spans="1:72" x14ac:dyDescent="0.15">
      <c r="A629" t="s">
        <v>3934</v>
      </c>
      <c r="B629" t="s">
        <v>9119</v>
      </c>
      <c r="C629" t="s">
        <v>74</v>
      </c>
      <c r="D629" t="s">
        <v>9073</v>
      </c>
      <c r="E629" t="s">
        <v>74</v>
      </c>
      <c r="F629" t="s">
        <v>9119</v>
      </c>
      <c r="G629" t="s">
        <v>74</v>
      </c>
      <c r="H629" t="s">
        <v>74</v>
      </c>
      <c r="I629" t="s">
        <v>9120</v>
      </c>
      <c r="J629" t="s">
        <v>9075</v>
      </c>
      <c r="K629" t="s">
        <v>7572</v>
      </c>
      <c r="L629" t="s">
        <v>74</v>
      </c>
      <c r="M629" t="s">
        <v>77</v>
      </c>
      <c r="N629" t="s">
        <v>3940</v>
      </c>
      <c r="O629" t="s">
        <v>9076</v>
      </c>
      <c r="P629" t="s">
        <v>7535</v>
      </c>
      <c r="Q629" t="s">
        <v>7536</v>
      </c>
      <c r="R629" t="s">
        <v>74</v>
      </c>
      <c r="S629" t="s">
        <v>74</v>
      </c>
      <c r="T629" t="s">
        <v>9121</v>
      </c>
      <c r="U629" t="s">
        <v>9122</v>
      </c>
      <c r="V629" t="s">
        <v>9123</v>
      </c>
      <c r="W629" t="s">
        <v>9124</v>
      </c>
      <c r="X629" t="s">
        <v>9125</v>
      </c>
      <c r="Y629" t="s">
        <v>9126</v>
      </c>
      <c r="Z629" t="s">
        <v>74</v>
      </c>
      <c r="AA629" t="s">
        <v>74</v>
      </c>
      <c r="AB629" t="s">
        <v>9127</v>
      </c>
      <c r="AC629" t="s">
        <v>74</v>
      </c>
      <c r="AD629" t="s">
        <v>74</v>
      </c>
      <c r="AE629" t="s">
        <v>74</v>
      </c>
      <c r="AF629" t="s">
        <v>74</v>
      </c>
      <c r="AG629">
        <v>26</v>
      </c>
      <c r="AH629">
        <v>9</v>
      </c>
      <c r="AI629">
        <v>9</v>
      </c>
      <c r="AJ629">
        <v>0</v>
      </c>
      <c r="AK629">
        <v>0</v>
      </c>
      <c r="AL629" t="s">
        <v>7542</v>
      </c>
      <c r="AM629" t="s">
        <v>7543</v>
      </c>
      <c r="AN629" t="s">
        <v>7544</v>
      </c>
      <c r="AO629" t="s">
        <v>7545</v>
      </c>
      <c r="AP629" t="s">
        <v>74</v>
      </c>
      <c r="AQ629" t="s">
        <v>9081</v>
      </c>
      <c r="AR629" t="s">
        <v>7577</v>
      </c>
      <c r="AS629" t="s">
        <v>74</v>
      </c>
      <c r="AT629" t="s">
        <v>74</v>
      </c>
      <c r="AU629">
        <v>2004</v>
      </c>
      <c r="AV629">
        <v>5491</v>
      </c>
      <c r="AW629" t="s">
        <v>74</v>
      </c>
      <c r="AX629" t="s">
        <v>3766</v>
      </c>
      <c r="AY629" t="s">
        <v>74</v>
      </c>
      <c r="AZ629" t="s">
        <v>74</v>
      </c>
      <c r="BA629" t="s">
        <v>74</v>
      </c>
      <c r="BB629">
        <v>1563</v>
      </c>
      <c r="BC629">
        <v>1573</v>
      </c>
      <c r="BD629" t="s">
        <v>74</v>
      </c>
      <c r="BE629" t="s">
        <v>9128</v>
      </c>
      <c r="BF629" t="str">
        <f>HYPERLINK("http://dx.doi.org/10.1117/12.550790","http://dx.doi.org/10.1117/12.550790")</f>
        <v>http://dx.doi.org/10.1117/12.550790</v>
      </c>
      <c r="BG629" t="s">
        <v>74</v>
      </c>
      <c r="BH629" t="s">
        <v>74</v>
      </c>
      <c r="BI629">
        <v>11</v>
      </c>
      <c r="BJ629" t="s">
        <v>9083</v>
      </c>
      <c r="BK629" t="s">
        <v>3955</v>
      </c>
      <c r="BL629" t="s">
        <v>9083</v>
      </c>
      <c r="BM629" t="s">
        <v>9084</v>
      </c>
      <c r="BN629" t="s">
        <v>74</v>
      </c>
      <c r="BO629" t="s">
        <v>74</v>
      </c>
      <c r="BP629" t="s">
        <v>74</v>
      </c>
      <c r="BQ629" t="s">
        <v>74</v>
      </c>
      <c r="BR629" t="s">
        <v>99</v>
      </c>
      <c r="BS629" t="s">
        <v>9129</v>
      </c>
      <c r="BT629" t="str">
        <f>HYPERLINK("https%3A%2F%2Fwww.webofscience.com%2Fwos%2Fwoscc%2Ffull-record%2FWOS:000225390000166","View Full Record in Web of Science")</f>
        <v>View Full Record in Web of Science</v>
      </c>
    </row>
    <row r="630" spans="1:72" x14ac:dyDescent="0.15">
      <c r="A630" t="s">
        <v>72</v>
      </c>
      <c r="B630" t="s">
        <v>9130</v>
      </c>
      <c r="C630" t="s">
        <v>74</v>
      </c>
      <c r="D630" t="s">
        <v>74</v>
      </c>
      <c r="E630" t="s">
        <v>74</v>
      </c>
      <c r="F630" t="s">
        <v>9130</v>
      </c>
      <c r="G630" t="s">
        <v>74</v>
      </c>
      <c r="H630" t="s">
        <v>74</v>
      </c>
      <c r="I630" t="s">
        <v>9131</v>
      </c>
      <c r="J630" t="s">
        <v>9132</v>
      </c>
      <c r="K630" t="s">
        <v>74</v>
      </c>
      <c r="L630" t="s">
        <v>74</v>
      </c>
      <c r="M630" t="s">
        <v>77</v>
      </c>
      <c r="N630" t="s">
        <v>442</v>
      </c>
      <c r="O630" t="s">
        <v>74</v>
      </c>
      <c r="P630" t="s">
        <v>74</v>
      </c>
      <c r="Q630" t="s">
        <v>74</v>
      </c>
      <c r="R630" t="s">
        <v>74</v>
      </c>
      <c r="S630" t="s">
        <v>74</v>
      </c>
      <c r="T630" t="s">
        <v>9133</v>
      </c>
      <c r="U630" t="s">
        <v>74</v>
      </c>
      <c r="V630" t="s">
        <v>74</v>
      </c>
      <c r="W630" t="s">
        <v>9134</v>
      </c>
      <c r="X630" t="s">
        <v>9135</v>
      </c>
      <c r="Y630" t="s">
        <v>83</v>
      </c>
      <c r="Z630" t="s">
        <v>3413</v>
      </c>
      <c r="AA630" t="s">
        <v>74</v>
      </c>
      <c r="AB630" t="s">
        <v>74</v>
      </c>
      <c r="AC630" t="s">
        <v>74</v>
      </c>
      <c r="AD630" t="s">
        <v>74</v>
      </c>
      <c r="AE630" t="s">
        <v>74</v>
      </c>
      <c r="AF630" t="s">
        <v>74</v>
      </c>
      <c r="AG630">
        <v>6</v>
      </c>
      <c r="AH630">
        <v>12</v>
      </c>
      <c r="AI630">
        <v>16</v>
      </c>
      <c r="AJ630">
        <v>1</v>
      </c>
      <c r="AK630">
        <v>2</v>
      </c>
      <c r="AL630" t="s">
        <v>198</v>
      </c>
      <c r="AM630" t="s">
        <v>178</v>
      </c>
      <c r="AN630" t="s">
        <v>179</v>
      </c>
      <c r="AO630" t="s">
        <v>9136</v>
      </c>
      <c r="AP630" t="s">
        <v>9137</v>
      </c>
      <c r="AQ630" t="s">
        <v>74</v>
      </c>
      <c r="AR630" t="s">
        <v>9138</v>
      </c>
      <c r="AS630" t="s">
        <v>9139</v>
      </c>
      <c r="AT630" t="s">
        <v>4117</v>
      </c>
      <c r="AU630">
        <v>2004</v>
      </c>
      <c r="AV630">
        <v>161</v>
      </c>
      <c r="AW630">
        <v>1</v>
      </c>
      <c r="AX630" t="s">
        <v>74</v>
      </c>
      <c r="AY630" t="s">
        <v>74</v>
      </c>
      <c r="AZ630" t="s">
        <v>74</v>
      </c>
      <c r="BA630" t="s">
        <v>74</v>
      </c>
      <c r="BB630">
        <v>15</v>
      </c>
      <c r="BC630">
        <v>17</v>
      </c>
      <c r="BD630" t="s">
        <v>74</v>
      </c>
      <c r="BE630" t="s">
        <v>74</v>
      </c>
      <c r="BF630" t="s">
        <v>74</v>
      </c>
      <c r="BG630" t="s">
        <v>74</v>
      </c>
      <c r="BH630" t="s">
        <v>74</v>
      </c>
      <c r="BI630">
        <v>3</v>
      </c>
      <c r="BJ630" t="s">
        <v>1903</v>
      </c>
      <c r="BK630" t="s">
        <v>96</v>
      </c>
      <c r="BL630" t="s">
        <v>1903</v>
      </c>
      <c r="BM630" t="s">
        <v>9140</v>
      </c>
      <c r="BN630" t="s">
        <v>74</v>
      </c>
      <c r="BO630" t="s">
        <v>74</v>
      </c>
      <c r="BP630" t="s">
        <v>74</v>
      </c>
      <c r="BQ630" t="s">
        <v>74</v>
      </c>
      <c r="BR630" t="s">
        <v>99</v>
      </c>
      <c r="BS630" t="s">
        <v>9141</v>
      </c>
      <c r="BT630" t="str">
        <f>HYPERLINK("https%3A%2F%2Fwww.webofscience.com%2Fwos%2Fwoscc%2Ffull-record%2FWOS:000187417700006","View Full Record in Web of Science")</f>
        <v>View Full Record in Web of Science</v>
      </c>
    </row>
    <row r="631" spans="1:72" x14ac:dyDescent="0.15">
      <c r="A631" t="s">
        <v>497</v>
      </c>
      <c r="B631" t="s">
        <v>9142</v>
      </c>
      <c r="C631" t="s">
        <v>74</v>
      </c>
      <c r="D631" t="s">
        <v>9143</v>
      </c>
      <c r="E631" t="s">
        <v>74</v>
      </c>
      <c r="F631" t="s">
        <v>9142</v>
      </c>
      <c r="G631" t="s">
        <v>74</v>
      </c>
      <c r="H631" t="s">
        <v>74</v>
      </c>
      <c r="I631" t="s">
        <v>9144</v>
      </c>
      <c r="J631" t="s">
        <v>9145</v>
      </c>
      <c r="K631" t="s">
        <v>5915</v>
      </c>
      <c r="L631" t="s">
        <v>74</v>
      </c>
      <c r="M631" t="s">
        <v>77</v>
      </c>
      <c r="N631" t="s">
        <v>311</v>
      </c>
      <c r="O631" t="s">
        <v>5916</v>
      </c>
      <c r="P631" t="s">
        <v>5917</v>
      </c>
      <c r="Q631" t="s">
        <v>5918</v>
      </c>
      <c r="R631" t="s">
        <v>74</v>
      </c>
      <c r="S631" t="s">
        <v>74</v>
      </c>
      <c r="T631" t="s">
        <v>9146</v>
      </c>
      <c r="U631" t="s">
        <v>74</v>
      </c>
      <c r="V631" t="s">
        <v>9147</v>
      </c>
      <c r="W631" t="s">
        <v>9148</v>
      </c>
      <c r="X631" t="s">
        <v>9149</v>
      </c>
      <c r="Y631" t="s">
        <v>9150</v>
      </c>
      <c r="Z631" t="s">
        <v>9151</v>
      </c>
      <c r="AA631" t="s">
        <v>74</v>
      </c>
      <c r="AB631" t="s">
        <v>74</v>
      </c>
      <c r="AC631" t="s">
        <v>74</v>
      </c>
      <c r="AD631" t="s">
        <v>74</v>
      </c>
      <c r="AE631" t="s">
        <v>74</v>
      </c>
      <c r="AF631" t="s">
        <v>74</v>
      </c>
      <c r="AG631">
        <v>3</v>
      </c>
      <c r="AH631">
        <v>3</v>
      </c>
      <c r="AI631">
        <v>3</v>
      </c>
      <c r="AJ631">
        <v>0</v>
      </c>
      <c r="AK631">
        <v>4</v>
      </c>
      <c r="AL631" t="s">
        <v>213</v>
      </c>
      <c r="AM631" t="s">
        <v>5925</v>
      </c>
      <c r="AN631" t="s">
        <v>5926</v>
      </c>
      <c r="AO631" t="s">
        <v>5927</v>
      </c>
      <c r="AP631" t="s">
        <v>74</v>
      </c>
      <c r="AQ631" t="s">
        <v>74</v>
      </c>
      <c r="AR631" t="s">
        <v>5928</v>
      </c>
      <c r="AS631" t="s">
        <v>74</v>
      </c>
      <c r="AT631" t="s">
        <v>74</v>
      </c>
      <c r="AU631">
        <v>2004</v>
      </c>
      <c r="AV631">
        <v>33</v>
      </c>
      <c r="AW631">
        <v>10</v>
      </c>
      <c r="AX631" t="s">
        <v>74</v>
      </c>
      <c r="AY631" t="s">
        <v>74</v>
      </c>
      <c r="AZ631" t="s">
        <v>74</v>
      </c>
      <c r="BA631" t="s">
        <v>74</v>
      </c>
      <c r="BB631">
        <v>1700</v>
      </c>
      <c r="BC631">
        <v>1704</v>
      </c>
      <c r="BD631" t="s">
        <v>74</v>
      </c>
      <c r="BE631" t="s">
        <v>9152</v>
      </c>
      <c r="BF631" t="str">
        <f>HYPERLINK("http://dx.doi.org/10.1016/j.asr.2003.10.032","http://dx.doi.org/10.1016/j.asr.2003.10.032")</f>
        <v>http://dx.doi.org/10.1016/j.asr.2003.10.032</v>
      </c>
      <c r="BG631" t="s">
        <v>74</v>
      </c>
      <c r="BH631" t="s">
        <v>74</v>
      </c>
      <c r="BI631">
        <v>5</v>
      </c>
      <c r="BJ631" t="s">
        <v>7850</v>
      </c>
      <c r="BK631" t="s">
        <v>1116</v>
      </c>
      <c r="BL631" t="s">
        <v>7851</v>
      </c>
      <c r="BM631" t="s">
        <v>9153</v>
      </c>
      <c r="BN631" t="s">
        <v>74</v>
      </c>
      <c r="BO631" t="s">
        <v>74</v>
      </c>
      <c r="BP631" t="s">
        <v>74</v>
      </c>
      <c r="BQ631" t="s">
        <v>74</v>
      </c>
      <c r="BR631" t="s">
        <v>99</v>
      </c>
      <c r="BS631" t="s">
        <v>9154</v>
      </c>
      <c r="BT631" t="str">
        <f>HYPERLINK("https%3A%2F%2Fwww.webofscience.com%2Fwos%2Fwoscc%2Ffull-record%2FWOS:000222365800020","View Full Record in Web of Science")</f>
        <v>View Full Record in Web of Science</v>
      </c>
    </row>
    <row r="632" spans="1:72" x14ac:dyDescent="0.15">
      <c r="A632" t="s">
        <v>497</v>
      </c>
      <c r="B632" t="s">
        <v>9155</v>
      </c>
      <c r="C632" t="s">
        <v>74</v>
      </c>
      <c r="D632" t="s">
        <v>9143</v>
      </c>
      <c r="E632" t="s">
        <v>74</v>
      </c>
      <c r="F632" t="s">
        <v>9155</v>
      </c>
      <c r="G632" t="s">
        <v>74</v>
      </c>
      <c r="H632" t="s">
        <v>9156</v>
      </c>
      <c r="I632" t="s">
        <v>9157</v>
      </c>
      <c r="J632" t="s">
        <v>9145</v>
      </c>
      <c r="K632" t="s">
        <v>7834</v>
      </c>
      <c r="L632" t="s">
        <v>74</v>
      </c>
      <c r="M632" t="s">
        <v>77</v>
      </c>
      <c r="N632" t="s">
        <v>311</v>
      </c>
      <c r="O632" t="s">
        <v>5916</v>
      </c>
      <c r="P632" t="s">
        <v>5917</v>
      </c>
      <c r="Q632" t="s">
        <v>5918</v>
      </c>
      <c r="R632" t="s">
        <v>74</v>
      </c>
      <c r="S632" t="s">
        <v>74</v>
      </c>
      <c r="T632" t="s">
        <v>9158</v>
      </c>
      <c r="U632" t="s">
        <v>9159</v>
      </c>
      <c r="V632" t="s">
        <v>9160</v>
      </c>
      <c r="W632" t="s">
        <v>9161</v>
      </c>
      <c r="X632" t="s">
        <v>4846</v>
      </c>
      <c r="Y632" t="s">
        <v>9162</v>
      </c>
      <c r="Z632" t="s">
        <v>9163</v>
      </c>
      <c r="AA632" t="s">
        <v>74</v>
      </c>
      <c r="AB632" t="s">
        <v>74</v>
      </c>
      <c r="AC632" t="s">
        <v>74</v>
      </c>
      <c r="AD632" t="s">
        <v>74</v>
      </c>
      <c r="AE632" t="s">
        <v>74</v>
      </c>
      <c r="AF632" t="s">
        <v>74</v>
      </c>
      <c r="AG632">
        <v>14</v>
      </c>
      <c r="AH632">
        <v>7</v>
      </c>
      <c r="AI632">
        <v>7</v>
      </c>
      <c r="AJ632">
        <v>0</v>
      </c>
      <c r="AK632">
        <v>2</v>
      </c>
      <c r="AL632" t="s">
        <v>213</v>
      </c>
      <c r="AM632" t="s">
        <v>5925</v>
      </c>
      <c r="AN632" t="s">
        <v>5926</v>
      </c>
      <c r="AO632" t="s">
        <v>5927</v>
      </c>
      <c r="AP632" t="s">
        <v>74</v>
      </c>
      <c r="AQ632" t="s">
        <v>74</v>
      </c>
      <c r="AR632" t="s">
        <v>7848</v>
      </c>
      <c r="AS632" t="s">
        <v>74</v>
      </c>
      <c r="AT632" t="s">
        <v>74</v>
      </c>
      <c r="AU632">
        <v>2004</v>
      </c>
      <c r="AV632">
        <v>33</v>
      </c>
      <c r="AW632">
        <v>10</v>
      </c>
      <c r="AX632" t="s">
        <v>74</v>
      </c>
      <c r="AY632" t="s">
        <v>74</v>
      </c>
      <c r="AZ632" t="s">
        <v>74</v>
      </c>
      <c r="BA632" t="s">
        <v>74</v>
      </c>
      <c r="BB632">
        <v>1790</v>
      </c>
      <c r="BC632">
        <v>1792</v>
      </c>
      <c r="BD632" t="s">
        <v>74</v>
      </c>
      <c r="BE632" t="s">
        <v>9164</v>
      </c>
      <c r="BF632" t="str">
        <f>HYPERLINK("http://dx.doi.org/10.1016/j.asr.2003.05.021","http://dx.doi.org/10.1016/j.asr.2003.05.021")</f>
        <v>http://dx.doi.org/10.1016/j.asr.2003.05.021</v>
      </c>
      <c r="BG632" t="s">
        <v>74</v>
      </c>
      <c r="BH632" t="s">
        <v>74</v>
      </c>
      <c r="BI632">
        <v>3</v>
      </c>
      <c r="BJ632" t="s">
        <v>7850</v>
      </c>
      <c r="BK632" t="s">
        <v>1116</v>
      </c>
      <c r="BL632" t="s">
        <v>7851</v>
      </c>
      <c r="BM632" t="s">
        <v>9153</v>
      </c>
      <c r="BN632" t="s">
        <v>74</v>
      </c>
      <c r="BO632" t="s">
        <v>74</v>
      </c>
      <c r="BP632" t="s">
        <v>74</v>
      </c>
      <c r="BQ632" t="s">
        <v>74</v>
      </c>
      <c r="BR632" t="s">
        <v>99</v>
      </c>
      <c r="BS632" t="s">
        <v>9165</v>
      </c>
      <c r="BT632" t="str">
        <f>HYPERLINK("https%3A%2F%2Fwww.webofscience.com%2Fwos%2Fwoscc%2Ffull-record%2FWOS:000222365800035","View Full Record in Web of Science")</f>
        <v>View Full Record in Web of Science</v>
      </c>
    </row>
    <row r="633" spans="1:72" x14ac:dyDescent="0.15">
      <c r="A633" t="s">
        <v>72</v>
      </c>
      <c r="B633" t="s">
        <v>9166</v>
      </c>
      <c r="C633" t="s">
        <v>74</v>
      </c>
      <c r="D633" t="s">
        <v>74</v>
      </c>
      <c r="E633" t="s">
        <v>74</v>
      </c>
      <c r="F633" t="s">
        <v>9166</v>
      </c>
      <c r="G633" t="s">
        <v>74</v>
      </c>
      <c r="H633" t="s">
        <v>74</v>
      </c>
      <c r="I633" t="s">
        <v>9167</v>
      </c>
      <c r="J633" t="s">
        <v>9168</v>
      </c>
      <c r="K633" t="s">
        <v>74</v>
      </c>
      <c r="L633" t="s">
        <v>74</v>
      </c>
      <c r="M633" t="s">
        <v>77</v>
      </c>
      <c r="N633" t="s">
        <v>78</v>
      </c>
      <c r="O633" t="s">
        <v>74</v>
      </c>
      <c r="P633" t="s">
        <v>74</v>
      </c>
      <c r="Q633" t="s">
        <v>74</v>
      </c>
      <c r="R633" t="s">
        <v>74</v>
      </c>
      <c r="S633" t="s">
        <v>74</v>
      </c>
      <c r="T633" t="s">
        <v>74</v>
      </c>
      <c r="U633" t="s">
        <v>9169</v>
      </c>
      <c r="V633" t="s">
        <v>9170</v>
      </c>
      <c r="W633" t="s">
        <v>9171</v>
      </c>
      <c r="X633" t="s">
        <v>9172</v>
      </c>
      <c r="Y633" t="s">
        <v>9173</v>
      </c>
      <c r="Z633" t="s">
        <v>9174</v>
      </c>
      <c r="AA633" t="s">
        <v>9175</v>
      </c>
      <c r="AB633" t="s">
        <v>9176</v>
      </c>
      <c r="AC633" t="s">
        <v>74</v>
      </c>
      <c r="AD633" t="s">
        <v>74</v>
      </c>
      <c r="AE633" t="s">
        <v>74</v>
      </c>
      <c r="AF633" t="s">
        <v>74</v>
      </c>
      <c r="AG633">
        <v>35</v>
      </c>
      <c r="AH633">
        <v>10</v>
      </c>
      <c r="AI633">
        <v>10</v>
      </c>
      <c r="AJ633">
        <v>1</v>
      </c>
      <c r="AK633">
        <v>4</v>
      </c>
      <c r="AL633" t="s">
        <v>4195</v>
      </c>
      <c r="AM633" t="s">
        <v>4196</v>
      </c>
      <c r="AN633" t="s">
        <v>4197</v>
      </c>
      <c r="AO633" t="s">
        <v>9177</v>
      </c>
      <c r="AP633" t="s">
        <v>9178</v>
      </c>
      <c r="AQ633" t="s">
        <v>74</v>
      </c>
      <c r="AR633" t="s">
        <v>9179</v>
      </c>
      <c r="AS633" t="s">
        <v>9180</v>
      </c>
      <c r="AT633" t="s">
        <v>74</v>
      </c>
      <c r="AU633">
        <v>2004</v>
      </c>
      <c r="AV633">
        <v>11</v>
      </c>
      <c r="AW633">
        <v>2</v>
      </c>
      <c r="AX633" t="s">
        <v>74</v>
      </c>
      <c r="AY633" t="s">
        <v>74</v>
      </c>
      <c r="AZ633" t="s">
        <v>74</v>
      </c>
      <c r="BA633" t="s">
        <v>74</v>
      </c>
      <c r="BB633">
        <v>165</v>
      </c>
      <c r="BC633">
        <v>180</v>
      </c>
      <c r="BD633" t="s">
        <v>74</v>
      </c>
      <c r="BE633" t="s">
        <v>9181</v>
      </c>
      <c r="BF633" t="str">
        <f>HYPERLINK("http://dx.doi.org/10.5194/npg-11-165-2004","http://dx.doi.org/10.5194/npg-11-165-2004")</f>
        <v>http://dx.doi.org/10.5194/npg-11-165-2004</v>
      </c>
      <c r="BG633" t="s">
        <v>74</v>
      </c>
      <c r="BH633" t="s">
        <v>74</v>
      </c>
      <c r="BI633">
        <v>16</v>
      </c>
      <c r="BJ633" t="s">
        <v>9182</v>
      </c>
      <c r="BK633" t="s">
        <v>96</v>
      </c>
      <c r="BL633" t="s">
        <v>9183</v>
      </c>
      <c r="BM633" t="s">
        <v>9184</v>
      </c>
      <c r="BN633" t="s">
        <v>74</v>
      </c>
      <c r="BO633" t="s">
        <v>4219</v>
      </c>
      <c r="BP633" t="s">
        <v>74</v>
      </c>
      <c r="BQ633" t="s">
        <v>74</v>
      </c>
      <c r="BR633" t="s">
        <v>99</v>
      </c>
      <c r="BS633" t="s">
        <v>9185</v>
      </c>
      <c r="BT633" t="str">
        <f>HYPERLINK("https%3A%2F%2Fwww.webofscience.com%2Fwos%2Fwoscc%2Ffull-record%2FWOS:000221471600002","View Full Record in Web of Science")</f>
        <v>View Full Record in Web of Science</v>
      </c>
    </row>
    <row r="634" spans="1:72" x14ac:dyDescent="0.15">
      <c r="A634" t="s">
        <v>72</v>
      </c>
      <c r="B634" t="s">
        <v>9186</v>
      </c>
      <c r="C634" t="s">
        <v>74</v>
      </c>
      <c r="D634" t="s">
        <v>74</v>
      </c>
      <c r="E634" t="s">
        <v>74</v>
      </c>
      <c r="F634" t="s">
        <v>9186</v>
      </c>
      <c r="G634" t="s">
        <v>74</v>
      </c>
      <c r="H634" t="s">
        <v>74</v>
      </c>
      <c r="I634" t="s">
        <v>9187</v>
      </c>
      <c r="J634" t="s">
        <v>9188</v>
      </c>
      <c r="K634" t="s">
        <v>74</v>
      </c>
      <c r="L634" t="s">
        <v>74</v>
      </c>
      <c r="M634" t="s">
        <v>77</v>
      </c>
      <c r="N634" t="s">
        <v>78</v>
      </c>
      <c r="O634" t="s">
        <v>74</v>
      </c>
      <c r="P634" t="s">
        <v>74</v>
      </c>
      <c r="Q634" t="s">
        <v>74</v>
      </c>
      <c r="R634" t="s">
        <v>74</v>
      </c>
      <c r="S634" t="s">
        <v>74</v>
      </c>
      <c r="T634" t="s">
        <v>74</v>
      </c>
      <c r="U634" t="s">
        <v>74</v>
      </c>
      <c r="V634" t="s">
        <v>9189</v>
      </c>
      <c r="W634" t="s">
        <v>9190</v>
      </c>
      <c r="X634" t="s">
        <v>7307</v>
      </c>
      <c r="Y634" t="s">
        <v>9191</v>
      </c>
      <c r="Z634" t="s">
        <v>9192</v>
      </c>
      <c r="AA634" t="s">
        <v>9193</v>
      </c>
      <c r="AB634" t="s">
        <v>9194</v>
      </c>
      <c r="AC634" t="s">
        <v>74</v>
      </c>
      <c r="AD634" t="s">
        <v>74</v>
      </c>
      <c r="AE634" t="s">
        <v>74</v>
      </c>
      <c r="AF634" t="s">
        <v>74</v>
      </c>
      <c r="AG634">
        <v>60</v>
      </c>
      <c r="AH634">
        <v>4</v>
      </c>
      <c r="AI634">
        <v>5</v>
      </c>
      <c r="AJ634">
        <v>0</v>
      </c>
      <c r="AK634">
        <v>4</v>
      </c>
      <c r="AL634" t="s">
        <v>1742</v>
      </c>
      <c r="AM634" t="s">
        <v>1743</v>
      </c>
      <c r="AN634" t="s">
        <v>1744</v>
      </c>
      <c r="AO634" t="s">
        <v>9195</v>
      </c>
      <c r="AP634" t="s">
        <v>9196</v>
      </c>
      <c r="AQ634" t="s">
        <v>74</v>
      </c>
      <c r="AR634" t="s">
        <v>9197</v>
      </c>
      <c r="AS634" t="s">
        <v>9198</v>
      </c>
      <c r="AT634" t="s">
        <v>7182</v>
      </c>
      <c r="AU634">
        <v>2004</v>
      </c>
      <c r="AV634">
        <v>35</v>
      </c>
      <c r="AW634">
        <v>1</v>
      </c>
      <c r="AX634" t="s">
        <v>74</v>
      </c>
      <c r="AY634" t="s">
        <v>74</v>
      </c>
      <c r="AZ634" t="s">
        <v>74</v>
      </c>
      <c r="BA634" t="s">
        <v>74</v>
      </c>
      <c r="BB634">
        <v>75</v>
      </c>
      <c r="BC634">
        <v>102</v>
      </c>
      <c r="BD634" t="s">
        <v>74</v>
      </c>
      <c r="BE634" t="s">
        <v>9199</v>
      </c>
      <c r="BF634" t="str">
        <f>HYPERLINK("http://dx.doi.org/10.1080/00908320490264391","http://dx.doi.org/10.1080/00908320490264391")</f>
        <v>http://dx.doi.org/10.1080/00908320490264391</v>
      </c>
      <c r="BG634" t="s">
        <v>74</v>
      </c>
      <c r="BH634" t="s">
        <v>74</v>
      </c>
      <c r="BI634">
        <v>28</v>
      </c>
      <c r="BJ634" t="s">
        <v>9200</v>
      </c>
      <c r="BK634" t="s">
        <v>8260</v>
      </c>
      <c r="BL634" t="s">
        <v>9201</v>
      </c>
      <c r="BM634" t="s">
        <v>9202</v>
      </c>
      <c r="BN634" t="s">
        <v>74</v>
      </c>
      <c r="BO634" t="s">
        <v>74</v>
      </c>
      <c r="BP634" t="s">
        <v>74</v>
      </c>
      <c r="BQ634" t="s">
        <v>74</v>
      </c>
      <c r="BR634" t="s">
        <v>99</v>
      </c>
      <c r="BS634" t="s">
        <v>9203</v>
      </c>
      <c r="BT634" t="str">
        <f>HYPERLINK("https%3A%2F%2Fwww.webofscience.com%2Fwos%2Fwoscc%2Ffull-record%2FWOS:000188091600004","View Full Record in Web of Science")</f>
        <v>View Full Record in Web of Science</v>
      </c>
    </row>
    <row r="635" spans="1:72" x14ac:dyDescent="0.15">
      <c r="A635" t="s">
        <v>72</v>
      </c>
      <c r="B635" t="s">
        <v>9204</v>
      </c>
      <c r="C635" t="s">
        <v>74</v>
      </c>
      <c r="D635" t="s">
        <v>74</v>
      </c>
      <c r="E635" t="s">
        <v>74</v>
      </c>
      <c r="F635" t="s">
        <v>9204</v>
      </c>
      <c r="G635" t="s">
        <v>74</v>
      </c>
      <c r="H635" t="s">
        <v>74</v>
      </c>
      <c r="I635" t="s">
        <v>9205</v>
      </c>
      <c r="J635" t="s">
        <v>9206</v>
      </c>
      <c r="K635" t="s">
        <v>74</v>
      </c>
      <c r="L635" t="s">
        <v>74</v>
      </c>
      <c r="M635" t="s">
        <v>77</v>
      </c>
      <c r="N635" t="s">
        <v>78</v>
      </c>
      <c r="O635" t="s">
        <v>74</v>
      </c>
      <c r="P635" t="s">
        <v>74</v>
      </c>
      <c r="Q635" t="s">
        <v>74</v>
      </c>
      <c r="R635" t="s">
        <v>74</v>
      </c>
      <c r="S635" t="s">
        <v>74</v>
      </c>
      <c r="T635" t="s">
        <v>9207</v>
      </c>
      <c r="U635" t="s">
        <v>9208</v>
      </c>
      <c r="V635" t="s">
        <v>9209</v>
      </c>
      <c r="W635" t="s">
        <v>74</v>
      </c>
      <c r="X635" t="s">
        <v>74</v>
      </c>
      <c r="Y635" t="s">
        <v>9210</v>
      </c>
      <c r="Z635" t="s">
        <v>74</v>
      </c>
      <c r="AA635" t="s">
        <v>9211</v>
      </c>
      <c r="AB635" t="s">
        <v>9212</v>
      </c>
      <c r="AC635" t="s">
        <v>74</v>
      </c>
      <c r="AD635" t="s">
        <v>74</v>
      </c>
      <c r="AE635" t="s">
        <v>74</v>
      </c>
      <c r="AF635" t="s">
        <v>74</v>
      </c>
      <c r="AG635">
        <v>39</v>
      </c>
      <c r="AH635">
        <v>61</v>
      </c>
      <c r="AI635">
        <v>64</v>
      </c>
      <c r="AJ635">
        <v>0</v>
      </c>
      <c r="AK635">
        <v>13</v>
      </c>
      <c r="AL635" t="s">
        <v>2105</v>
      </c>
      <c r="AM635" t="s">
        <v>214</v>
      </c>
      <c r="AN635" t="s">
        <v>2106</v>
      </c>
      <c r="AO635" t="s">
        <v>9213</v>
      </c>
      <c r="AP635" t="s">
        <v>74</v>
      </c>
      <c r="AQ635" t="s">
        <v>74</v>
      </c>
      <c r="AR635" t="s">
        <v>9214</v>
      </c>
      <c r="AS635" t="s">
        <v>9215</v>
      </c>
      <c r="AT635" t="s">
        <v>74</v>
      </c>
      <c r="AU635">
        <v>2004</v>
      </c>
      <c r="AV635">
        <v>6</v>
      </c>
      <c r="AW635">
        <v>1</v>
      </c>
      <c r="AX635" t="s">
        <v>74</v>
      </c>
      <c r="AY635" t="s">
        <v>74</v>
      </c>
      <c r="AZ635" t="s">
        <v>74</v>
      </c>
      <c r="BA635" t="s">
        <v>74</v>
      </c>
      <c r="BB635">
        <v>83</v>
      </c>
      <c r="BC635">
        <v>100</v>
      </c>
      <c r="BD635" t="s">
        <v>74</v>
      </c>
      <c r="BE635" t="s">
        <v>9216</v>
      </c>
      <c r="BF635" t="str">
        <f>HYPERLINK("http://dx.doi.org/10.1016/S1463-5003(02)00061-6","http://dx.doi.org/10.1016/S1463-5003(02)00061-6")</f>
        <v>http://dx.doi.org/10.1016/S1463-5003(02)00061-6</v>
      </c>
      <c r="BG635" t="s">
        <v>74</v>
      </c>
      <c r="BH635" t="s">
        <v>74</v>
      </c>
      <c r="BI635">
        <v>18</v>
      </c>
      <c r="BJ635" t="s">
        <v>7009</v>
      </c>
      <c r="BK635" t="s">
        <v>96</v>
      </c>
      <c r="BL635" t="s">
        <v>7009</v>
      </c>
      <c r="BM635" t="s">
        <v>9217</v>
      </c>
      <c r="BN635" t="s">
        <v>74</v>
      </c>
      <c r="BO635" t="s">
        <v>74</v>
      </c>
      <c r="BP635" t="s">
        <v>74</v>
      </c>
      <c r="BQ635" t="s">
        <v>74</v>
      </c>
      <c r="BR635" t="s">
        <v>99</v>
      </c>
      <c r="BS635" t="s">
        <v>9218</v>
      </c>
      <c r="BT635" t="str">
        <f>HYPERLINK("https%3A%2F%2Fwww.webofscience.com%2Fwos%2Fwoscc%2Ffull-record%2FWOS:000185746100004","View Full Record in Web of Science")</f>
        <v>View Full Record in Web of Science</v>
      </c>
    </row>
    <row r="636" spans="1:72" x14ac:dyDescent="0.15">
      <c r="A636" t="s">
        <v>72</v>
      </c>
      <c r="B636" t="s">
        <v>9219</v>
      </c>
      <c r="C636" t="s">
        <v>74</v>
      </c>
      <c r="D636" t="s">
        <v>74</v>
      </c>
      <c r="E636" t="s">
        <v>74</v>
      </c>
      <c r="F636" t="s">
        <v>9219</v>
      </c>
      <c r="G636" t="s">
        <v>74</v>
      </c>
      <c r="H636" t="s">
        <v>74</v>
      </c>
      <c r="I636" t="s">
        <v>9220</v>
      </c>
      <c r="J636" t="s">
        <v>9206</v>
      </c>
      <c r="K636" t="s">
        <v>74</v>
      </c>
      <c r="L636" t="s">
        <v>74</v>
      </c>
      <c r="M636" t="s">
        <v>77</v>
      </c>
      <c r="N636" t="s">
        <v>78</v>
      </c>
      <c r="O636" t="s">
        <v>74</v>
      </c>
      <c r="P636" t="s">
        <v>74</v>
      </c>
      <c r="Q636" t="s">
        <v>74</v>
      </c>
      <c r="R636" t="s">
        <v>74</v>
      </c>
      <c r="S636" t="s">
        <v>74</v>
      </c>
      <c r="T636" t="s">
        <v>9221</v>
      </c>
      <c r="U636" t="s">
        <v>9222</v>
      </c>
      <c r="V636" t="s">
        <v>9223</v>
      </c>
      <c r="W636" t="s">
        <v>9224</v>
      </c>
      <c r="X636" t="s">
        <v>9225</v>
      </c>
      <c r="Y636" t="s">
        <v>9226</v>
      </c>
      <c r="Z636" t="s">
        <v>74</v>
      </c>
      <c r="AA636" t="s">
        <v>9227</v>
      </c>
      <c r="AB636" t="s">
        <v>9228</v>
      </c>
      <c r="AC636" t="s">
        <v>74</v>
      </c>
      <c r="AD636" t="s">
        <v>74</v>
      </c>
      <c r="AE636" t="s">
        <v>74</v>
      </c>
      <c r="AF636" t="s">
        <v>74</v>
      </c>
      <c r="AG636">
        <v>30</v>
      </c>
      <c r="AH636">
        <v>1</v>
      </c>
      <c r="AI636">
        <v>1</v>
      </c>
      <c r="AJ636">
        <v>0</v>
      </c>
      <c r="AK636">
        <v>2</v>
      </c>
      <c r="AL636" t="s">
        <v>2105</v>
      </c>
      <c r="AM636" t="s">
        <v>214</v>
      </c>
      <c r="AN636" t="s">
        <v>2106</v>
      </c>
      <c r="AO636" t="s">
        <v>9213</v>
      </c>
      <c r="AP636" t="s">
        <v>74</v>
      </c>
      <c r="AQ636" t="s">
        <v>74</v>
      </c>
      <c r="AR636" t="s">
        <v>9214</v>
      </c>
      <c r="AS636" t="s">
        <v>9215</v>
      </c>
      <c r="AT636" t="s">
        <v>74</v>
      </c>
      <c r="AU636">
        <v>2004</v>
      </c>
      <c r="AV636">
        <v>6</v>
      </c>
      <c r="AW636">
        <v>2</v>
      </c>
      <c r="AX636" t="s">
        <v>74</v>
      </c>
      <c r="AY636" t="s">
        <v>74</v>
      </c>
      <c r="AZ636" t="s">
        <v>74</v>
      </c>
      <c r="BA636" t="s">
        <v>74</v>
      </c>
      <c r="BB636">
        <v>177</v>
      </c>
      <c r="BC636">
        <v>190</v>
      </c>
      <c r="BD636" t="s">
        <v>74</v>
      </c>
      <c r="BE636" t="s">
        <v>9229</v>
      </c>
      <c r="BF636" t="str">
        <f>HYPERLINK("http://dx.doi.org/10.1016/S1463-5003(03)00024-6","http://dx.doi.org/10.1016/S1463-5003(03)00024-6")</f>
        <v>http://dx.doi.org/10.1016/S1463-5003(03)00024-6</v>
      </c>
      <c r="BG636" t="s">
        <v>74</v>
      </c>
      <c r="BH636" t="s">
        <v>74</v>
      </c>
      <c r="BI636">
        <v>14</v>
      </c>
      <c r="BJ636" t="s">
        <v>7009</v>
      </c>
      <c r="BK636" t="s">
        <v>96</v>
      </c>
      <c r="BL636" t="s">
        <v>7009</v>
      </c>
      <c r="BM636" t="s">
        <v>9230</v>
      </c>
      <c r="BN636" t="s">
        <v>74</v>
      </c>
      <c r="BO636" t="s">
        <v>74</v>
      </c>
      <c r="BP636" t="s">
        <v>74</v>
      </c>
      <c r="BQ636" t="s">
        <v>74</v>
      </c>
      <c r="BR636" t="s">
        <v>99</v>
      </c>
      <c r="BS636" t="s">
        <v>9231</v>
      </c>
      <c r="BT636" t="str">
        <f>HYPERLINK("https%3A%2F%2Fwww.webofscience.com%2Fwos%2Fwoscc%2Ffull-record%2FWOS:000185556800004","View Full Record in Web of Science")</f>
        <v>View Full Record in Web of Science</v>
      </c>
    </row>
    <row r="637" spans="1:72" x14ac:dyDescent="0.15">
      <c r="A637" t="s">
        <v>3934</v>
      </c>
      <c r="B637" t="s">
        <v>9232</v>
      </c>
      <c r="C637" t="s">
        <v>74</v>
      </c>
      <c r="D637" t="s">
        <v>9233</v>
      </c>
      <c r="E637" t="s">
        <v>74</v>
      </c>
      <c r="F637" t="s">
        <v>9232</v>
      </c>
      <c r="G637" t="s">
        <v>74</v>
      </c>
      <c r="H637" t="s">
        <v>74</v>
      </c>
      <c r="I637" t="s">
        <v>9234</v>
      </c>
      <c r="J637" t="s">
        <v>9235</v>
      </c>
      <c r="K637" t="s">
        <v>74</v>
      </c>
      <c r="L637" t="s">
        <v>74</v>
      </c>
      <c r="M637" t="s">
        <v>77</v>
      </c>
      <c r="N637" t="s">
        <v>3940</v>
      </c>
      <c r="O637" t="s">
        <v>9236</v>
      </c>
      <c r="P637" t="s">
        <v>9237</v>
      </c>
      <c r="Q637" t="s">
        <v>9238</v>
      </c>
      <c r="R637" t="s">
        <v>74</v>
      </c>
      <c r="S637" t="s">
        <v>74</v>
      </c>
      <c r="T637" t="s">
        <v>9239</v>
      </c>
      <c r="U637" t="s">
        <v>74</v>
      </c>
      <c r="V637" t="s">
        <v>9240</v>
      </c>
      <c r="W637" t="s">
        <v>74</v>
      </c>
      <c r="X637" t="s">
        <v>74</v>
      </c>
      <c r="Y637" t="s">
        <v>74</v>
      </c>
      <c r="Z637" t="s">
        <v>74</v>
      </c>
      <c r="AA637" t="s">
        <v>74</v>
      </c>
      <c r="AB637" t="s">
        <v>74</v>
      </c>
      <c r="AC637" t="s">
        <v>74</v>
      </c>
      <c r="AD637" t="s">
        <v>74</v>
      </c>
      <c r="AE637" t="s">
        <v>74</v>
      </c>
      <c r="AF637" t="s">
        <v>74</v>
      </c>
      <c r="AG637">
        <v>46</v>
      </c>
      <c r="AH637">
        <v>1</v>
      </c>
      <c r="AI637">
        <v>1</v>
      </c>
      <c r="AJ637">
        <v>0</v>
      </c>
      <c r="AK637">
        <v>0</v>
      </c>
      <c r="AL637" t="s">
        <v>9241</v>
      </c>
      <c r="AM637" t="s">
        <v>7177</v>
      </c>
      <c r="AN637" t="s">
        <v>9242</v>
      </c>
      <c r="AO637" t="s">
        <v>74</v>
      </c>
      <c r="AP637" t="s">
        <v>74</v>
      </c>
      <c r="AQ637" t="s">
        <v>9243</v>
      </c>
      <c r="AR637" t="s">
        <v>74</v>
      </c>
      <c r="AS637" t="s">
        <v>74</v>
      </c>
      <c r="AT637" t="s">
        <v>74</v>
      </c>
      <c r="AU637">
        <v>2004</v>
      </c>
      <c r="AV637" t="s">
        <v>74</v>
      </c>
      <c r="AW637" t="s">
        <v>74</v>
      </c>
      <c r="AX637" t="s">
        <v>74</v>
      </c>
      <c r="AY637" t="s">
        <v>74</v>
      </c>
      <c r="AZ637" t="s">
        <v>74</v>
      </c>
      <c r="BA637" t="s">
        <v>74</v>
      </c>
      <c r="BB637">
        <v>65</v>
      </c>
      <c r="BC637">
        <v>78</v>
      </c>
      <c r="BD637" t="s">
        <v>74</v>
      </c>
      <c r="BE637" t="s">
        <v>74</v>
      </c>
      <c r="BF637" t="s">
        <v>74</v>
      </c>
      <c r="BG637" t="s">
        <v>74</v>
      </c>
      <c r="BH637" t="s">
        <v>74</v>
      </c>
      <c r="BI637">
        <v>14</v>
      </c>
      <c r="BJ637" t="s">
        <v>9244</v>
      </c>
      <c r="BK637" t="s">
        <v>9245</v>
      </c>
      <c r="BL637" t="s">
        <v>9246</v>
      </c>
      <c r="BM637" t="s">
        <v>9247</v>
      </c>
      <c r="BN637" t="s">
        <v>74</v>
      </c>
      <c r="BO637" t="s">
        <v>74</v>
      </c>
      <c r="BP637" t="s">
        <v>74</v>
      </c>
      <c r="BQ637" t="s">
        <v>74</v>
      </c>
      <c r="BR637" t="s">
        <v>99</v>
      </c>
      <c r="BS637" t="s">
        <v>9248</v>
      </c>
      <c r="BT637" t="str">
        <f>HYPERLINK("https%3A%2F%2Fwww.webofscience.com%2Fwos%2Fwoscc%2Ffull-record%2FWOS:000227914300007","View Full Record in Web of Science")</f>
        <v>View Full Record in Web of Science</v>
      </c>
    </row>
    <row r="638" spans="1:72" x14ac:dyDescent="0.15">
      <c r="A638" t="s">
        <v>3934</v>
      </c>
      <c r="B638" t="s">
        <v>9249</v>
      </c>
      <c r="C638" t="s">
        <v>74</v>
      </c>
      <c r="D638" t="s">
        <v>9233</v>
      </c>
      <c r="E638" t="s">
        <v>74</v>
      </c>
      <c r="F638" t="s">
        <v>9249</v>
      </c>
      <c r="G638" t="s">
        <v>74</v>
      </c>
      <c r="H638" t="s">
        <v>74</v>
      </c>
      <c r="I638" t="s">
        <v>9250</v>
      </c>
      <c r="J638" t="s">
        <v>9235</v>
      </c>
      <c r="K638" t="s">
        <v>74</v>
      </c>
      <c r="L638" t="s">
        <v>74</v>
      </c>
      <c r="M638" t="s">
        <v>77</v>
      </c>
      <c r="N638" t="s">
        <v>3940</v>
      </c>
      <c r="O638" t="s">
        <v>9236</v>
      </c>
      <c r="P638" t="s">
        <v>9237</v>
      </c>
      <c r="Q638" t="s">
        <v>9238</v>
      </c>
      <c r="R638" t="s">
        <v>74</v>
      </c>
      <c r="S638" t="s">
        <v>74</v>
      </c>
      <c r="T638" t="s">
        <v>9251</v>
      </c>
      <c r="U638" t="s">
        <v>74</v>
      </c>
      <c r="V638" t="s">
        <v>9252</v>
      </c>
      <c r="W638" t="s">
        <v>9253</v>
      </c>
      <c r="X638" t="s">
        <v>9254</v>
      </c>
      <c r="Y638" t="s">
        <v>74</v>
      </c>
      <c r="Z638" t="s">
        <v>74</v>
      </c>
      <c r="AA638" t="s">
        <v>74</v>
      </c>
      <c r="AB638" t="s">
        <v>74</v>
      </c>
      <c r="AC638" t="s">
        <v>74</v>
      </c>
      <c r="AD638" t="s">
        <v>74</v>
      </c>
      <c r="AE638" t="s">
        <v>74</v>
      </c>
      <c r="AF638" t="s">
        <v>74</v>
      </c>
      <c r="AG638">
        <v>30</v>
      </c>
      <c r="AH638">
        <v>0</v>
      </c>
      <c r="AI638">
        <v>1</v>
      </c>
      <c r="AJ638">
        <v>0</v>
      </c>
      <c r="AK638">
        <v>0</v>
      </c>
      <c r="AL638" t="s">
        <v>9241</v>
      </c>
      <c r="AM638" t="s">
        <v>7177</v>
      </c>
      <c r="AN638" t="s">
        <v>9242</v>
      </c>
      <c r="AO638" t="s">
        <v>74</v>
      </c>
      <c r="AP638" t="s">
        <v>74</v>
      </c>
      <c r="AQ638" t="s">
        <v>9243</v>
      </c>
      <c r="AR638" t="s">
        <v>74</v>
      </c>
      <c r="AS638" t="s">
        <v>74</v>
      </c>
      <c r="AT638" t="s">
        <v>74</v>
      </c>
      <c r="AU638">
        <v>2004</v>
      </c>
      <c r="AV638" t="s">
        <v>74</v>
      </c>
      <c r="AW638" t="s">
        <v>74</v>
      </c>
      <c r="AX638" t="s">
        <v>74</v>
      </c>
      <c r="AY638" t="s">
        <v>74</v>
      </c>
      <c r="AZ638" t="s">
        <v>74</v>
      </c>
      <c r="BA638" t="s">
        <v>74</v>
      </c>
      <c r="BB638">
        <v>399</v>
      </c>
      <c r="BC638">
        <v>405</v>
      </c>
      <c r="BD638" t="s">
        <v>74</v>
      </c>
      <c r="BE638" t="s">
        <v>74</v>
      </c>
      <c r="BF638" t="s">
        <v>74</v>
      </c>
      <c r="BG638" t="s">
        <v>74</v>
      </c>
      <c r="BH638" t="s">
        <v>74</v>
      </c>
      <c r="BI638">
        <v>7</v>
      </c>
      <c r="BJ638" t="s">
        <v>9244</v>
      </c>
      <c r="BK638" t="s">
        <v>9245</v>
      </c>
      <c r="BL638" t="s">
        <v>9246</v>
      </c>
      <c r="BM638" t="s">
        <v>9247</v>
      </c>
      <c r="BN638" t="s">
        <v>74</v>
      </c>
      <c r="BO638" t="s">
        <v>74</v>
      </c>
      <c r="BP638" t="s">
        <v>74</v>
      </c>
      <c r="BQ638" t="s">
        <v>74</v>
      </c>
      <c r="BR638" t="s">
        <v>99</v>
      </c>
      <c r="BS638" t="s">
        <v>9255</v>
      </c>
      <c r="BT638" t="str">
        <f>HYPERLINK("https%3A%2F%2Fwww.webofscience.com%2Fwos%2Fwoscc%2Ffull-record%2FWOS:000227914300032","View Full Record in Web of Science")</f>
        <v>View Full Record in Web of Science</v>
      </c>
    </row>
    <row r="639" spans="1:72" x14ac:dyDescent="0.15">
      <c r="A639" t="s">
        <v>72</v>
      </c>
      <c r="B639" t="s">
        <v>9256</v>
      </c>
      <c r="C639" t="s">
        <v>74</v>
      </c>
      <c r="D639" t="s">
        <v>74</v>
      </c>
      <c r="E639" t="s">
        <v>74</v>
      </c>
      <c r="F639" t="s">
        <v>9256</v>
      </c>
      <c r="G639" t="s">
        <v>74</v>
      </c>
      <c r="H639" t="s">
        <v>74</v>
      </c>
      <c r="I639" t="s">
        <v>9257</v>
      </c>
      <c r="J639" t="s">
        <v>1908</v>
      </c>
      <c r="K639" t="s">
        <v>74</v>
      </c>
      <c r="L639" t="s">
        <v>74</v>
      </c>
      <c r="M639" t="s">
        <v>77</v>
      </c>
      <c r="N639" t="s">
        <v>78</v>
      </c>
      <c r="O639" t="s">
        <v>74</v>
      </c>
      <c r="P639" t="s">
        <v>74</v>
      </c>
      <c r="Q639" t="s">
        <v>74</v>
      </c>
      <c r="R639" t="s">
        <v>74</v>
      </c>
      <c r="S639" t="s">
        <v>74</v>
      </c>
      <c r="T639" t="s">
        <v>74</v>
      </c>
      <c r="U639" t="s">
        <v>9258</v>
      </c>
      <c r="V639" t="s">
        <v>9259</v>
      </c>
      <c r="W639" t="s">
        <v>9260</v>
      </c>
      <c r="X639" t="s">
        <v>9261</v>
      </c>
      <c r="Y639" t="s">
        <v>9262</v>
      </c>
      <c r="Z639" t="s">
        <v>74</v>
      </c>
      <c r="AA639" t="s">
        <v>9263</v>
      </c>
      <c r="AB639" t="s">
        <v>74</v>
      </c>
      <c r="AC639" t="s">
        <v>74</v>
      </c>
      <c r="AD639" t="s">
        <v>74</v>
      </c>
      <c r="AE639" t="s">
        <v>74</v>
      </c>
      <c r="AF639" t="s">
        <v>74</v>
      </c>
      <c r="AG639">
        <v>28</v>
      </c>
      <c r="AH639">
        <v>2</v>
      </c>
      <c r="AI639">
        <v>2</v>
      </c>
      <c r="AJ639">
        <v>0</v>
      </c>
      <c r="AK639">
        <v>2</v>
      </c>
      <c r="AL639" t="s">
        <v>1916</v>
      </c>
      <c r="AM639" t="s">
        <v>1917</v>
      </c>
      <c r="AN639" t="s">
        <v>1918</v>
      </c>
      <c r="AO639" t="s">
        <v>1919</v>
      </c>
      <c r="AP639" t="s">
        <v>74</v>
      </c>
      <c r="AQ639" t="s">
        <v>74</v>
      </c>
      <c r="AR639" t="s">
        <v>1920</v>
      </c>
      <c r="AS639" t="s">
        <v>1921</v>
      </c>
      <c r="AT639" t="s">
        <v>5979</v>
      </c>
      <c r="AU639">
        <v>2004</v>
      </c>
      <c r="AV639">
        <v>44</v>
      </c>
      <c r="AW639">
        <v>1</v>
      </c>
      <c r="AX639" t="s">
        <v>74</v>
      </c>
      <c r="AY639" t="s">
        <v>74</v>
      </c>
      <c r="AZ639" t="s">
        <v>74</v>
      </c>
      <c r="BA639" t="s">
        <v>74</v>
      </c>
      <c r="BB639">
        <v>134</v>
      </c>
      <c r="BC639">
        <v>142</v>
      </c>
      <c r="BD639" t="s">
        <v>74</v>
      </c>
      <c r="BE639" t="s">
        <v>74</v>
      </c>
      <c r="BF639" t="s">
        <v>74</v>
      </c>
      <c r="BG639" t="s">
        <v>74</v>
      </c>
      <c r="BH639" t="s">
        <v>74</v>
      </c>
      <c r="BI639">
        <v>9</v>
      </c>
      <c r="BJ639" t="s">
        <v>477</v>
      </c>
      <c r="BK639" t="s">
        <v>96</v>
      </c>
      <c r="BL639" t="s">
        <v>477</v>
      </c>
      <c r="BM639" t="s">
        <v>9264</v>
      </c>
      <c r="BN639" t="s">
        <v>74</v>
      </c>
      <c r="BO639" t="s">
        <v>74</v>
      </c>
      <c r="BP639" t="s">
        <v>74</v>
      </c>
      <c r="BQ639" t="s">
        <v>74</v>
      </c>
      <c r="BR639" t="s">
        <v>99</v>
      </c>
      <c r="BS639" t="s">
        <v>9265</v>
      </c>
      <c r="BT639" t="str">
        <f>HYPERLINK("https%3A%2F%2Fwww.webofscience.com%2Fwos%2Fwoscc%2Ffull-record%2FWOS:000189181800017","View Full Record in Web of Science")</f>
        <v>View Full Record in Web of Science</v>
      </c>
    </row>
    <row r="640" spans="1:72" x14ac:dyDescent="0.15">
      <c r="A640" t="s">
        <v>3934</v>
      </c>
      <c r="B640" t="s">
        <v>9266</v>
      </c>
      <c r="C640" t="s">
        <v>74</v>
      </c>
      <c r="D640" t="s">
        <v>74</v>
      </c>
      <c r="E640" t="s">
        <v>3948</v>
      </c>
      <c r="F640" t="s">
        <v>9266</v>
      </c>
      <c r="G640" t="s">
        <v>74</v>
      </c>
      <c r="H640" t="s">
        <v>74</v>
      </c>
      <c r="I640" t="s">
        <v>9267</v>
      </c>
      <c r="J640" t="s">
        <v>9268</v>
      </c>
      <c r="K640" t="s">
        <v>74</v>
      </c>
      <c r="L640" t="s">
        <v>74</v>
      </c>
      <c r="M640" t="s">
        <v>77</v>
      </c>
      <c r="N640" t="s">
        <v>3940</v>
      </c>
      <c r="O640" t="s">
        <v>9269</v>
      </c>
      <c r="P640" t="s">
        <v>9270</v>
      </c>
      <c r="Q640" t="s">
        <v>9271</v>
      </c>
      <c r="R640" t="s">
        <v>74</v>
      </c>
      <c r="S640" t="s">
        <v>74</v>
      </c>
      <c r="T640" t="s">
        <v>74</v>
      </c>
      <c r="U640" t="s">
        <v>9272</v>
      </c>
      <c r="V640" t="s">
        <v>9273</v>
      </c>
      <c r="W640" t="s">
        <v>9274</v>
      </c>
      <c r="X640" t="s">
        <v>9275</v>
      </c>
      <c r="Y640" t="s">
        <v>9276</v>
      </c>
      <c r="Z640" t="s">
        <v>74</v>
      </c>
      <c r="AA640" t="s">
        <v>74</v>
      </c>
      <c r="AB640" t="s">
        <v>74</v>
      </c>
      <c r="AC640" t="s">
        <v>74</v>
      </c>
      <c r="AD640" t="s">
        <v>74</v>
      </c>
      <c r="AE640" t="s">
        <v>74</v>
      </c>
      <c r="AF640" t="s">
        <v>74</v>
      </c>
      <c r="AG640">
        <v>21</v>
      </c>
      <c r="AH640">
        <v>0</v>
      </c>
      <c r="AI640">
        <v>0</v>
      </c>
      <c r="AJ640">
        <v>0</v>
      </c>
      <c r="AK640">
        <v>1</v>
      </c>
      <c r="AL640" t="s">
        <v>3948</v>
      </c>
      <c r="AM640" t="s">
        <v>87</v>
      </c>
      <c r="AN640" t="s">
        <v>3949</v>
      </c>
      <c r="AO640" t="s">
        <v>74</v>
      </c>
      <c r="AP640" t="s">
        <v>74</v>
      </c>
      <c r="AQ640" t="s">
        <v>9277</v>
      </c>
      <c r="AR640" t="s">
        <v>74</v>
      </c>
      <c r="AS640" t="s">
        <v>74</v>
      </c>
      <c r="AT640" t="s">
        <v>74</v>
      </c>
      <c r="AU640">
        <v>2004</v>
      </c>
      <c r="AV640" t="s">
        <v>74</v>
      </c>
      <c r="AW640" t="s">
        <v>74</v>
      </c>
      <c r="AX640" t="s">
        <v>74</v>
      </c>
      <c r="AY640" t="s">
        <v>74</v>
      </c>
      <c r="AZ640" t="s">
        <v>74</v>
      </c>
      <c r="BA640" t="s">
        <v>74</v>
      </c>
      <c r="BB640">
        <v>375</v>
      </c>
      <c r="BC640">
        <v>382</v>
      </c>
      <c r="BD640" t="s">
        <v>74</v>
      </c>
      <c r="BE640" t="s">
        <v>74</v>
      </c>
      <c r="BF640" t="s">
        <v>74</v>
      </c>
      <c r="BG640" t="s">
        <v>74</v>
      </c>
      <c r="BH640" t="s">
        <v>74</v>
      </c>
      <c r="BI640">
        <v>8</v>
      </c>
      <c r="BJ640" t="s">
        <v>9278</v>
      </c>
      <c r="BK640" t="s">
        <v>3955</v>
      </c>
      <c r="BL640" t="s">
        <v>9279</v>
      </c>
      <c r="BM640" t="s">
        <v>9280</v>
      </c>
      <c r="BN640" t="s">
        <v>74</v>
      </c>
      <c r="BO640" t="s">
        <v>74</v>
      </c>
      <c r="BP640" t="s">
        <v>74</v>
      </c>
      <c r="BQ640" t="s">
        <v>74</v>
      </c>
      <c r="BR640" t="s">
        <v>99</v>
      </c>
      <c r="BS640" t="s">
        <v>9281</v>
      </c>
      <c r="BT640" t="str">
        <f>HYPERLINK("https%3A%2F%2Fwww.webofscience.com%2Fwos%2Fwoscc%2Ffull-record%2FWOS:000227674100066","View Full Record in Web of Science")</f>
        <v>View Full Record in Web of Science</v>
      </c>
    </row>
    <row r="641" spans="1:72" x14ac:dyDescent="0.15">
      <c r="A641" t="s">
        <v>72</v>
      </c>
      <c r="B641" t="s">
        <v>9282</v>
      </c>
      <c r="C641" t="s">
        <v>74</v>
      </c>
      <c r="D641" t="s">
        <v>74</v>
      </c>
      <c r="E641" t="s">
        <v>74</v>
      </c>
      <c r="F641" t="s">
        <v>9282</v>
      </c>
      <c r="G641" t="s">
        <v>74</v>
      </c>
      <c r="H641" t="s">
        <v>74</v>
      </c>
      <c r="I641" t="s">
        <v>9283</v>
      </c>
      <c r="J641" t="s">
        <v>9284</v>
      </c>
      <c r="K641" t="s">
        <v>74</v>
      </c>
      <c r="L641" t="s">
        <v>74</v>
      </c>
      <c r="M641" t="s">
        <v>77</v>
      </c>
      <c r="N641" t="s">
        <v>78</v>
      </c>
      <c r="O641" t="s">
        <v>74</v>
      </c>
      <c r="P641" t="s">
        <v>74</v>
      </c>
      <c r="Q641" t="s">
        <v>74</v>
      </c>
      <c r="R641" t="s">
        <v>74</v>
      </c>
      <c r="S641" t="s">
        <v>74</v>
      </c>
      <c r="T641" t="s">
        <v>74</v>
      </c>
      <c r="U641" t="s">
        <v>9285</v>
      </c>
      <c r="V641" t="s">
        <v>9286</v>
      </c>
      <c r="W641" t="s">
        <v>9287</v>
      </c>
      <c r="X641" t="s">
        <v>9288</v>
      </c>
      <c r="Y641" t="s">
        <v>9289</v>
      </c>
      <c r="Z641" t="s">
        <v>9290</v>
      </c>
      <c r="AA641" t="s">
        <v>74</v>
      </c>
      <c r="AB641" t="s">
        <v>9291</v>
      </c>
      <c r="AC641" t="s">
        <v>74</v>
      </c>
      <c r="AD641" t="s">
        <v>74</v>
      </c>
      <c r="AE641" t="s">
        <v>74</v>
      </c>
      <c r="AF641" t="s">
        <v>74</v>
      </c>
      <c r="AG641">
        <v>15</v>
      </c>
      <c r="AH641">
        <v>6</v>
      </c>
      <c r="AI641">
        <v>7</v>
      </c>
      <c r="AJ641">
        <v>0</v>
      </c>
      <c r="AK641">
        <v>9</v>
      </c>
      <c r="AL641" t="s">
        <v>213</v>
      </c>
      <c r="AM641" t="s">
        <v>214</v>
      </c>
      <c r="AN641" t="s">
        <v>215</v>
      </c>
      <c r="AO641" t="s">
        <v>9292</v>
      </c>
      <c r="AP641" t="s">
        <v>74</v>
      </c>
      <c r="AQ641" t="s">
        <v>74</v>
      </c>
      <c r="AR641" t="s">
        <v>9293</v>
      </c>
      <c r="AS641" t="s">
        <v>9294</v>
      </c>
      <c r="AT641" t="s">
        <v>74</v>
      </c>
      <c r="AU641">
        <v>2004</v>
      </c>
      <c r="AV641">
        <v>35</v>
      </c>
      <c r="AW641">
        <v>2</v>
      </c>
      <c r="AX641" t="s">
        <v>74</v>
      </c>
      <c r="AY641" t="s">
        <v>74</v>
      </c>
      <c r="AZ641" t="s">
        <v>74</v>
      </c>
      <c r="BA641" t="s">
        <v>74</v>
      </c>
      <c r="BB641">
        <v>203</v>
      </c>
      <c r="BC641">
        <v>207</v>
      </c>
      <c r="BD641" t="s">
        <v>74</v>
      </c>
      <c r="BE641" t="s">
        <v>9295</v>
      </c>
      <c r="BF641" t="str">
        <f>HYPERLINK("http://dx.doi.org/10.1016/j.orggeochem.2003.10.006","http://dx.doi.org/10.1016/j.orggeochem.2003.10.006")</f>
        <v>http://dx.doi.org/10.1016/j.orggeochem.2003.10.006</v>
      </c>
      <c r="BG641" t="s">
        <v>74</v>
      </c>
      <c r="BH641" t="s">
        <v>74</v>
      </c>
      <c r="BI641">
        <v>5</v>
      </c>
      <c r="BJ641" t="s">
        <v>262</v>
      </c>
      <c r="BK641" t="s">
        <v>96</v>
      </c>
      <c r="BL641" t="s">
        <v>262</v>
      </c>
      <c r="BM641" t="s">
        <v>9296</v>
      </c>
      <c r="BN641" t="s">
        <v>74</v>
      </c>
      <c r="BO641" t="s">
        <v>74</v>
      </c>
      <c r="BP641" t="s">
        <v>74</v>
      </c>
      <c r="BQ641" t="s">
        <v>74</v>
      </c>
      <c r="BR641" t="s">
        <v>99</v>
      </c>
      <c r="BS641" t="s">
        <v>9297</v>
      </c>
      <c r="BT641" t="str">
        <f>HYPERLINK("https%3A%2F%2Fwww.webofscience.com%2Fwos%2Fwoscc%2Ffull-record%2FWOS:000188703200010","View Full Record in Web of Science")</f>
        <v>View Full Record in Web of Science</v>
      </c>
    </row>
    <row r="642" spans="1:72" x14ac:dyDescent="0.15">
      <c r="A642" t="s">
        <v>72</v>
      </c>
      <c r="B642" t="s">
        <v>9298</v>
      </c>
      <c r="C642" t="s">
        <v>74</v>
      </c>
      <c r="D642" t="s">
        <v>74</v>
      </c>
      <c r="E642" t="s">
        <v>74</v>
      </c>
      <c r="F642" t="s">
        <v>9298</v>
      </c>
      <c r="G642" t="s">
        <v>74</v>
      </c>
      <c r="H642" t="s">
        <v>74</v>
      </c>
      <c r="I642" t="s">
        <v>9299</v>
      </c>
      <c r="J642" t="s">
        <v>9284</v>
      </c>
      <c r="K642" t="s">
        <v>74</v>
      </c>
      <c r="L642" t="s">
        <v>74</v>
      </c>
      <c r="M642" t="s">
        <v>77</v>
      </c>
      <c r="N642" t="s">
        <v>78</v>
      </c>
      <c r="O642" t="s">
        <v>74</v>
      </c>
      <c r="P642" t="s">
        <v>74</v>
      </c>
      <c r="Q642" t="s">
        <v>74</v>
      </c>
      <c r="R642" t="s">
        <v>74</v>
      </c>
      <c r="S642" t="s">
        <v>74</v>
      </c>
      <c r="T642" t="s">
        <v>74</v>
      </c>
      <c r="U642" t="s">
        <v>9300</v>
      </c>
      <c r="V642" t="s">
        <v>9301</v>
      </c>
      <c r="W642" t="s">
        <v>9302</v>
      </c>
      <c r="X642" t="s">
        <v>9303</v>
      </c>
      <c r="Y642" t="s">
        <v>9304</v>
      </c>
      <c r="Z642" t="s">
        <v>9305</v>
      </c>
      <c r="AA642" t="s">
        <v>9306</v>
      </c>
      <c r="AB642" t="s">
        <v>9307</v>
      </c>
      <c r="AC642" t="s">
        <v>74</v>
      </c>
      <c r="AD642" t="s">
        <v>74</v>
      </c>
      <c r="AE642" t="s">
        <v>74</v>
      </c>
      <c r="AF642" t="s">
        <v>74</v>
      </c>
      <c r="AG642">
        <v>73</v>
      </c>
      <c r="AH642">
        <v>145</v>
      </c>
      <c r="AI642">
        <v>158</v>
      </c>
      <c r="AJ642">
        <v>4</v>
      </c>
      <c r="AK642">
        <v>72</v>
      </c>
      <c r="AL642" t="s">
        <v>213</v>
      </c>
      <c r="AM642" t="s">
        <v>214</v>
      </c>
      <c r="AN642" t="s">
        <v>215</v>
      </c>
      <c r="AO642" t="s">
        <v>9292</v>
      </c>
      <c r="AP642" t="s">
        <v>9308</v>
      </c>
      <c r="AQ642" t="s">
        <v>74</v>
      </c>
      <c r="AR642" t="s">
        <v>9293</v>
      </c>
      <c r="AS642" t="s">
        <v>9294</v>
      </c>
      <c r="AT642" t="s">
        <v>74</v>
      </c>
      <c r="AU642">
        <v>2004</v>
      </c>
      <c r="AV642">
        <v>35</v>
      </c>
      <c r="AW642">
        <v>10</v>
      </c>
      <c r="AX642" t="s">
        <v>74</v>
      </c>
      <c r="AY642" t="s">
        <v>74</v>
      </c>
      <c r="AZ642" t="s">
        <v>74</v>
      </c>
      <c r="BA642" t="s">
        <v>74</v>
      </c>
      <c r="BB642">
        <v>1151</v>
      </c>
      <c r="BC642">
        <v>1167</v>
      </c>
      <c r="BD642" t="s">
        <v>74</v>
      </c>
      <c r="BE642" t="s">
        <v>9309</v>
      </c>
      <c r="BF642" t="str">
        <f>HYPERLINK("http://dx.doi.org/10.1016/j.orggeochem.2004.06.009","http://dx.doi.org/10.1016/j.orggeochem.2004.06.009")</f>
        <v>http://dx.doi.org/10.1016/j.orggeochem.2004.06.009</v>
      </c>
      <c r="BG642" t="s">
        <v>74</v>
      </c>
      <c r="BH642" t="s">
        <v>74</v>
      </c>
      <c r="BI642">
        <v>17</v>
      </c>
      <c r="BJ642" t="s">
        <v>262</v>
      </c>
      <c r="BK642" t="s">
        <v>96</v>
      </c>
      <c r="BL642" t="s">
        <v>262</v>
      </c>
      <c r="BM642" t="s">
        <v>9310</v>
      </c>
      <c r="BN642" t="s">
        <v>74</v>
      </c>
      <c r="BO642" t="s">
        <v>74</v>
      </c>
      <c r="BP642" t="s">
        <v>74</v>
      </c>
      <c r="BQ642" t="s">
        <v>74</v>
      </c>
      <c r="BR642" t="s">
        <v>99</v>
      </c>
      <c r="BS642" t="s">
        <v>9311</v>
      </c>
      <c r="BT642" t="str">
        <f>HYPERLINK("https%3A%2F%2Fwww.webofscience.com%2Fwos%2Fwoscc%2Ffull-record%2FWOS:000224305500008","View Full Record in Web of Science")</f>
        <v>View Full Record in Web of Science</v>
      </c>
    </row>
    <row r="643" spans="1:72" x14ac:dyDescent="0.15">
      <c r="A643" t="s">
        <v>72</v>
      </c>
      <c r="B643" t="s">
        <v>9282</v>
      </c>
      <c r="C643" t="s">
        <v>74</v>
      </c>
      <c r="D643" t="s">
        <v>74</v>
      </c>
      <c r="E643" t="s">
        <v>74</v>
      </c>
      <c r="F643" t="s">
        <v>9282</v>
      </c>
      <c r="G643" t="s">
        <v>74</v>
      </c>
      <c r="H643" t="s">
        <v>74</v>
      </c>
      <c r="I643" t="s">
        <v>9312</v>
      </c>
      <c r="J643" t="s">
        <v>9284</v>
      </c>
      <c r="K643" t="s">
        <v>74</v>
      </c>
      <c r="L643" t="s">
        <v>74</v>
      </c>
      <c r="M643" t="s">
        <v>77</v>
      </c>
      <c r="N643" t="s">
        <v>311</v>
      </c>
      <c r="O643" t="s">
        <v>9313</v>
      </c>
      <c r="P643" t="s">
        <v>7353</v>
      </c>
      <c r="Q643" t="s">
        <v>9314</v>
      </c>
      <c r="R643" t="s">
        <v>74</v>
      </c>
      <c r="S643" t="s">
        <v>74</v>
      </c>
      <c r="T643" t="s">
        <v>74</v>
      </c>
      <c r="U643" t="s">
        <v>9315</v>
      </c>
      <c r="V643" t="s">
        <v>9316</v>
      </c>
      <c r="W643" t="s">
        <v>9317</v>
      </c>
      <c r="X643" t="s">
        <v>9288</v>
      </c>
      <c r="Y643" t="s">
        <v>9289</v>
      </c>
      <c r="Z643" t="s">
        <v>9290</v>
      </c>
      <c r="AA643" t="s">
        <v>74</v>
      </c>
      <c r="AB643" t="s">
        <v>9291</v>
      </c>
      <c r="AC643" t="s">
        <v>74</v>
      </c>
      <c r="AD643" t="s">
        <v>74</v>
      </c>
      <c r="AE643" t="s">
        <v>74</v>
      </c>
      <c r="AF643" t="s">
        <v>74</v>
      </c>
      <c r="AG643">
        <v>30</v>
      </c>
      <c r="AH643">
        <v>30</v>
      </c>
      <c r="AI643">
        <v>41</v>
      </c>
      <c r="AJ643">
        <v>0</v>
      </c>
      <c r="AK643">
        <v>23</v>
      </c>
      <c r="AL643" t="s">
        <v>213</v>
      </c>
      <c r="AM643" t="s">
        <v>214</v>
      </c>
      <c r="AN643" t="s">
        <v>215</v>
      </c>
      <c r="AO643" t="s">
        <v>9292</v>
      </c>
      <c r="AP643" t="s">
        <v>74</v>
      </c>
      <c r="AQ643" t="s">
        <v>74</v>
      </c>
      <c r="AR643" t="s">
        <v>9293</v>
      </c>
      <c r="AS643" t="s">
        <v>9294</v>
      </c>
      <c r="AT643" t="s">
        <v>74</v>
      </c>
      <c r="AU643">
        <v>2004</v>
      </c>
      <c r="AV643">
        <v>35</v>
      </c>
      <c r="AW643" t="s">
        <v>9318</v>
      </c>
      <c r="AX643" t="s">
        <v>74</v>
      </c>
      <c r="AY643" t="s">
        <v>74</v>
      </c>
      <c r="AZ643" t="s">
        <v>74</v>
      </c>
      <c r="BA643" t="s">
        <v>74</v>
      </c>
      <c r="BB643">
        <v>1221</v>
      </c>
      <c r="BC643">
        <v>1228</v>
      </c>
      <c r="BD643" t="s">
        <v>74</v>
      </c>
      <c r="BE643" t="s">
        <v>9319</v>
      </c>
      <c r="BF643" t="str">
        <f>HYPERLINK("http://dx.doi.org/10.1016/j.orggeochem.2004.07.005","http://dx.doi.org/10.1016/j.orggeochem.2004.07.005")</f>
        <v>http://dx.doi.org/10.1016/j.orggeochem.2004.07.005</v>
      </c>
      <c r="BG643" t="s">
        <v>74</v>
      </c>
      <c r="BH643" t="s">
        <v>74</v>
      </c>
      <c r="BI643">
        <v>8</v>
      </c>
      <c r="BJ643" t="s">
        <v>262</v>
      </c>
      <c r="BK643" t="s">
        <v>332</v>
      </c>
      <c r="BL643" t="s">
        <v>262</v>
      </c>
      <c r="BM643" t="s">
        <v>9320</v>
      </c>
      <c r="BN643" t="s">
        <v>74</v>
      </c>
      <c r="BO643" t="s">
        <v>74</v>
      </c>
      <c r="BP643" t="s">
        <v>74</v>
      </c>
      <c r="BQ643" t="s">
        <v>74</v>
      </c>
      <c r="BR643" t="s">
        <v>99</v>
      </c>
      <c r="BS643" t="s">
        <v>9321</v>
      </c>
      <c r="BT643" t="str">
        <f>HYPERLINK("https%3A%2F%2Fwww.webofscience.com%2Fwos%2Fwoscc%2Ffull-record%2FWOS:000225316700004","View Full Record in Web of Science")</f>
        <v>View Full Record in Web of Science</v>
      </c>
    </row>
    <row r="644" spans="1:72" x14ac:dyDescent="0.15">
      <c r="A644" t="s">
        <v>72</v>
      </c>
      <c r="B644" t="s">
        <v>9322</v>
      </c>
      <c r="C644" t="s">
        <v>74</v>
      </c>
      <c r="D644" t="s">
        <v>74</v>
      </c>
      <c r="E644" t="s">
        <v>74</v>
      </c>
      <c r="F644" t="s">
        <v>9322</v>
      </c>
      <c r="G644" t="s">
        <v>74</v>
      </c>
      <c r="H644" t="s">
        <v>74</v>
      </c>
      <c r="I644" t="s">
        <v>9323</v>
      </c>
      <c r="J644" t="s">
        <v>9284</v>
      </c>
      <c r="K644" t="s">
        <v>74</v>
      </c>
      <c r="L644" t="s">
        <v>74</v>
      </c>
      <c r="M644" t="s">
        <v>77</v>
      </c>
      <c r="N644" t="s">
        <v>311</v>
      </c>
      <c r="O644" t="s">
        <v>9313</v>
      </c>
      <c r="P644" t="s">
        <v>7353</v>
      </c>
      <c r="Q644" t="s">
        <v>9314</v>
      </c>
      <c r="R644" t="s">
        <v>74</v>
      </c>
      <c r="S644" t="s">
        <v>74</v>
      </c>
      <c r="T644" t="s">
        <v>74</v>
      </c>
      <c r="U644" t="s">
        <v>9324</v>
      </c>
      <c r="V644" t="s">
        <v>9325</v>
      </c>
      <c r="W644" t="s">
        <v>9287</v>
      </c>
      <c r="X644" t="s">
        <v>9288</v>
      </c>
      <c r="Y644" t="s">
        <v>9289</v>
      </c>
      <c r="Z644" t="s">
        <v>9290</v>
      </c>
      <c r="AA644" t="s">
        <v>74</v>
      </c>
      <c r="AB644" t="s">
        <v>9291</v>
      </c>
      <c r="AC644" t="s">
        <v>74</v>
      </c>
      <c r="AD644" t="s">
        <v>74</v>
      </c>
      <c r="AE644" t="s">
        <v>74</v>
      </c>
      <c r="AF644" t="s">
        <v>74</v>
      </c>
      <c r="AG644">
        <v>43</v>
      </c>
      <c r="AH644">
        <v>6</v>
      </c>
      <c r="AI644">
        <v>8</v>
      </c>
      <c r="AJ644">
        <v>0</v>
      </c>
      <c r="AK644">
        <v>4</v>
      </c>
      <c r="AL644" t="s">
        <v>213</v>
      </c>
      <c r="AM644" t="s">
        <v>214</v>
      </c>
      <c r="AN644" t="s">
        <v>215</v>
      </c>
      <c r="AO644" t="s">
        <v>9292</v>
      </c>
      <c r="AP644" t="s">
        <v>74</v>
      </c>
      <c r="AQ644" t="s">
        <v>74</v>
      </c>
      <c r="AR644" t="s">
        <v>9293</v>
      </c>
      <c r="AS644" t="s">
        <v>9294</v>
      </c>
      <c r="AT644" t="s">
        <v>74</v>
      </c>
      <c r="AU644">
        <v>2004</v>
      </c>
      <c r="AV644">
        <v>35</v>
      </c>
      <c r="AW644" t="s">
        <v>9318</v>
      </c>
      <c r="AX644" t="s">
        <v>74</v>
      </c>
      <c r="AY644" t="s">
        <v>74</v>
      </c>
      <c r="AZ644" t="s">
        <v>74</v>
      </c>
      <c r="BA644" t="s">
        <v>74</v>
      </c>
      <c r="BB644">
        <v>1299</v>
      </c>
      <c r="BC644">
        <v>1307</v>
      </c>
      <c r="BD644" t="s">
        <v>74</v>
      </c>
      <c r="BE644" t="s">
        <v>9326</v>
      </c>
      <c r="BF644" t="str">
        <f>HYPERLINK("http://dx.doi.org/10.1016/j.orggeochem.2004.05.011","http://dx.doi.org/10.1016/j.orggeochem.2004.05.011")</f>
        <v>http://dx.doi.org/10.1016/j.orggeochem.2004.05.011</v>
      </c>
      <c r="BG644" t="s">
        <v>74</v>
      </c>
      <c r="BH644" t="s">
        <v>74</v>
      </c>
      <c r="BI644">
        <v>9</v>
      </c>
      <c r="BJ644" t="s">
        <v>262</v>
      </c>
      <c r="BK644" t="s">
        <v>332</v>
      </c>
      <c r="BL644" t="s">
        <v>262</v>
      </c>
      <c r="BM644" t="s">
        <v>9320</v>
      </c>
      <c r="BN644" t="s">
        <v>74</v>
      </c>
      <c r="BO644" t="s">
        <v>74</v>
      </c>
      <c r="BP644" t="s">
        <v>74</v>
      </c>
      <c r="BQ644" t="s">
        <v>74</v>
      </c>
      <c r="BR644" t="s">
        <v>99</v>
      </c>
      <c r="BS644" t="s">
        <v>9327</v>
      </c>
      <c r="BT644" t="str">
        <f>HYPERLINK("https%3A%2F%2Fwww.webofscience.com%2Fwos%2Fwoscc%2Ffull-record%2FWOS:000225316700010","View Full Record in Web of Science")</f>
        <v>View Full Record in Web of Science</v>
      </c>
    </row>
    <row r="645" spans="1:72" x14ac:dyDescent="0.15">
      <c r="A645" t="s">
        <v>72</v>
      </c>
      <c r="B645" t="s">
        <v>9282</v>
      </c>
      <c r="C645" t="s">
        <v>74</v>
      </c>
      <c r="D645" t="s">
        <v>74</v>
      </c>
      <c r="E645" t="s">
        <v>74</v>
      </c>
      <c r="F645" t="s">
        <v>9282</v>
      </c>
      <c r="G645" t="s">
        <v>74</v>
      </c>
      <c r="H645" t="s">
        <v>74</v>
      </c>
      <c r="I645" t="s">
        <v>9328</v>
      </c>
      <c r="J645" t="s">
        <v>9284</v>
      </c>
      <c r="K645" t="s">
        <v>74</v>
      </c>
      <c r="L645" t="s">
        <v>74</v>
      </c>
      <c r="M645" t="s">
        <v>77</v>
      </c>
      <c r="N645" t="s">
        <v>311</v>
      </c>
      <c r="O645" t="s">
        <v>9313</v>
      </c>
      <c r="P645" t="s">
        <v>7353</v>
      </c>
      <c r="Q645" t="s">
        <v>9314</v>
      </c>
      <c r="R645" t="s">
        <v>74</v>
      </c>
      <c r="S645" t="s">
        <v>74</v>
      </c>
      <c r="T645" t="s">
        <v>74</v>
      </c>
      <c r="U645" t="s">
        <v>9329</v>
      </c>
      <c r="V645" t="s">
        <v>9330</v>
      </c>
      <c r="W645" t="s">
        <v>9287</v>
      </c>
      <c r="X645" t="s">
        <v>9288</v>
      </c>
      <c r="Y645" t="s">
        <v>9289</v>
      </c>
      <c r="Z645" t="s">
        <v>9290</v>
      </c>
      <c r="AA645" t="s">
        <v>74</v>
      </c>
      <c r="AB645" t="s">
        <v>9291</v>
      </c>
      <c r="AC645" t="s">
        <v>74</v>
      </c>
      <c r="AD645" t="s">
        <v>74</v>
      </c>
      <c r="AE645" t="s">
        <v>74</v>
      </c>
      <c r="AF645" t="s">
        <v>74</v>
      </c>
      <c r="AG645">
        <v>30</v>
      </c>
      <c r="AH645">
        <v>10</v>
      </c>
      <c r="AI645">
        <v>12</v>
      </c>
      <c r="AJ645">
        <v>1</v>
      </c>
      <c r="AK645">
        <v>5</v>
      </c>
      <c r="AL645" t="s">
        <v>213</v>
      </c>
      <c r="AM645" t="s">
        <v>214</v>
      </c>
      <c r="AN645" t="s">
        <v>215</v>
      </c>
      <c r="AO645" t="s">
        <v>9292</v>
      </c>
      <c r="AP645" t="s">
        <v>9308</v>
      </c>
      <c r="AQ645" t="s">
        <v>74</v>
      </c>
      <c r="AR645" t="s">
        <v>9293</v>
      </c>
      <c r="AS645" t="s">
        <v>9294</v>
      </c>
      <c r="AT645" t="s">
        <v>74</v>
      </c>
      <c r="AU645">
        <v>2004</v>
      </c>
      <c r="AV645">
        <v>35</v>
      </c>
      <c r="AW645" t="s">
        <v>9318</v>
      </c>
      <c r="AX645" t="s">
        <v>74</v>
      </c>
      <c r="AY645" t="s">
        <v>74</v>
      </c>
      <c r="AZ645" t="s">
        <v>74</v>
      </c>
      <c r="BA645" t="s">
        <v>74</v>
      </c>
      <c r="BB645">
        <v>1309</v>
      </c>
      <c r="BC645">
        <v>1318</v>
      </c>
      <c r="BD645" t="s">
        <v>74</v>
      </c>
      <c r="BE645" t="s">
        <v>9331</v>
      </c>
      <c r="BF645" t="str">
        <f>HYPERLINK("http://dx.doi.org/10.1016/j.orggeochem.2004.06.016","http://dx.doi.org/10.1016/j.orggeochem.2004.06.016")</f>
        <v>http://dx.doi.org/10.1016/j.orggeochem.2004.06.016</v>
      </c>
      <c r="BG645" t="s">
        <v>74</v>
      </c>
      <c r="BH645" t="s">
        <v>74</v>
      </c>
      <c r="BI645">
        <v>10</v>
      </c>
      <c r="BJ645" t="s">
        <v>262</v>
      </c>
      <c r="BK645" t="s">
        <v>332</v>
      </c>
      <c r="BL645" t="s">
        <v>262</v>
      </c>
      <c r="BM645" t="s">
        <v>9320</v>
      </c>
      <c r="BN645" t="s">
        <v>74</v>
      </c>
      <c r="BO645" t="s">
        <v>74</v>
      </c>
      <c r="BP645" t="s">
        <v>74</v>
      </c>
      <c r="BQ645" t="s">
        <v>74</v>
      </c>
      <c r="BR645" t="s">
        <v>99</v>
      </c>
      <c r="BS645" t="s">
        <v>9332</v>
      </c>
      <c r="BT645" t="str">
        <f>HYPERLINK("https%3A%2F%2Fwww.webofscience.com%2Fwos%2Fwoscc%2Ffull-record%2FWOS:000225316700011","View Full Record in Web of Science")</f>
        <v>View Full Record in Web of Science</v>
      </c>
    </row>
    <row r="646" spans="1:72" x14ac:dyDescent="0.15">
      <c r="A646" t="s">
        <v>3934</v>
      </c>
      <c r="B646" t="s">
        <v>9333</v>
      </c>
      <c r="C646" t="s">
        <v>74</v>
      </c>
      <c r="D646" t="s">
        <v>9334</v>
      </c>
      <c r="E646" t="s">
        <v>74</v>
      </c>
      <c r="F646" t="s">
        <v>9333</v>
      </c>
      <c r="G646" t="s">
        <v>74</v>
      </c>
      <c r="H646" t="s">
        <v>74</v>
      </c>
      <c r="I646" t="s">
        <v>9335</v>
      </c>
      <c r="J646" t="s">
        <v>9336</v>
      </c>
      <c r="K646" t="s">
        <v>9337</v>
      </c>
      <c r="L646" t="s">
        <v>74</v>
      </c>
      <c r="M646" t="s">
        <v>77</v>
      </c>
      <c r="N646" t="s">
        <v>3940</v>
      </c>
      <c r="O646" t="s">
        <v>9338</v>
      </c>
      <c r="P646" t="s">
        <v>9339</v>
      </c>
      <c r="Q646" t="s">
        <v>9340</v>
      </c>
      <c r="R646" t="s">
        <v>74</v>
      </c>
      <c r="S646" t="s">
        <v>74</v>
      </c>
      <c r="T646" t="s">
        <v>9341</v>
      </c>
      <c r="U646" t="s">
        <v>9342</v>
      </c>
      <c r="V646" t="s">
        <v>74</v>
      </c>
      <c r="W646" t="s">
        <v>9343</v>
      </c>
      <c r="X646" t="s">
        <v>2701</v>
      </c>
      <c r="Y646" t="s">
        <v>9344</v>
      </c>
      <c r="Z646" t="s">
        <v>9345</v>
      </c>
      <c r="AA646" t="s">
        <v>74</v>
      </c>
      <c r="AB646" t="s">
        <v>9346</v>
      </c>
      <c r="AC646" t="s">
        <v>74</v>
      </c>
      <c r="AD646" t="s">
        <v>74</v>
      </c>
      <c r="AE646" t="s">
        <v>74</v>
      </c>
      <c r="AF646" t="s">
        <v>74</v>
      </c>
      <c r="AG646">
        <v>94</v>
      </c>
      <c r="AH646">
        <v>14</v>
      </c>
      <c r="AI646">
        <v>14</v>
      </c>
      <c r="AJ646">
        <v>0</v>
      </c>
      <c r="AK646">
        <v>6</v>
      </c>
      <c r="AL646" t="s">
        <v>86</v>
      </c>
      <c r="AM646" t="s">
        <v>3376</v>
      </c>
      <c r="AN646" t="s">
        <v>7631</v>
      </c>
      <c r="AO646" t="s">
        <v>9347</v>
      </c>
      <c r="AP646" t="s">
        <v>74</v>
      </c>
      <c r="AQ646" t="s">
        <v>9348</v>
      </c>
      <c r="AR646" t="s">
        <v>9349</v>
      </c>
      <c r="AS646" t="s">
        <v>9350</v>
      </c>
      <c r="AT646" t="s">
        <v>74</v>
      </c>
      <c r="AU646">
        <v>2004</v>
      </c>
      <c r="AV646">
        <v>6</v>
      </c>
      <c r="AW646" t="s">
        <v>74</v>
      </c>
      <c r="AX646" t="s">
        <v>74</v>
      </c>
      <c r="AY646" t="s">
        <v>74</v>
      </c>
      <c r="AZ646" t="s">
        <v>74</v>
      </c>
      <c r="BA646" t="s">
        <v>74</v>
      </c>
      <c r="BB646">
        <v>45</v>
      </c>
      <c r="BC646">
        <v>68</v>
      </c>
      <c r="BD646" t="s">
        <v>74</v>
      </c>
      <c r="BE646" t="s">
        <v>74</v>
      </c>
      <c r="BF646" t="s">
        <v>74</v>
      </c>
      <c r="BG646" t="s">
        <v>74</v>
      </c>
      <c r="BH646" t="s">
        <v>74</v>
      </c>
      <c r="BI646">
        <v>24</v>
      </c>
      <c r="BJ646" t="s">
        <v>5962</v>
      </c>
      <c r="BK646" t="s">
        <v>3955</v>
      </c>
      <c r="BL646" t="s">
        <v>5963</v>
      </c>
      <c r="BM646" t="s">
        <v>9351</v>
      </c>
      <c r="BN646" t="s">
        <v>74</v>
      </c>
      <c r="BO646" t="s">
        <v>74</v>
      </c>
      <c r="BP646" t="s">
        <v>74</v>
      </c>
      <c r="BQ646" t="s">
        <v>74</v>
      </c>
      <c r="BR646" t="s">
        <v>99</v>
      </c>
      <c r="BS646" t="s">
        <v>9352</v>
      </c>
      <c r="BT646" t="str">
        <f>HYPERLINK("https%3A%2F%2Fwww.webofscience.com%2Fwos%2Fwoscc%2Ffull-record%2FWOS:000228286800004","View Full Record in Web of Science")</f>
        <v>View Full Record in Web of Science</v>
      </c>
    </row>
    <row r="647" spans="1:72" x14ac:dyDescent="0.15">
      <c r="A647" t="s">
        <v>3934</v>
      </c>
      <c r="B647" t="s">
        <v>9353</v>
      </c>
      <c r="C647" t="s">
        <v>74</v>
      </c>
      <c r="D647" t="s">
        <v>9334</v>
      </c>
      <c r="E647" t="s">
        <v>74</v>
      </c>
      <c r="F647" t="s">
        <v>9353</v>
      </c>
      <c r="G647" t="s">
        <v>74</v>
      </c>
      <c r="H647" t="s">
        <v>74</v>
      </c>
      <c r="I647" t="s">
        <v>9354</v>
      </c>
      <c r="J647" t="s">
        <v>9336</v>
      </c>
      <c r="K647" t="s">
        <v>9337</v>
      </c>
      <c r="L647" t="s">
        <v>74</v>
      </c>
      <c r="M647" t="s">
        <v>77</v>
      </c>
      <c r="N647" t="s">
        <v>3940</v>
      </c>
      <c r="O647" t="s">
        <v>9338</v>
      </c>
      <c r="P647" t="s">
        <v>9339</v>
      </c>
      <c r="Q647" t="s">
        <v>9340</v>
      </c>
      <c r="R647" t="s">
        <v>74</v>
      </c>
      <c r="S647" t="s">
        <v>74</v>
      </c>
      <c r="T647" t="s">
        <v>9355</v>
      </c>
      <c r="U647" t="s">
        <v>9356</v>
      </c>
      <c r="V647" t="s">
        <v>74</v>
      </c>
      <c r="W647" t="s">
        <v>9357</v>
      </c>
      <c r="X647" t="s">
        <v>2701</v>
      </c>
      <c r="Y647" t="s">
        <v>9358</v>
      </c>
      <c r="Z647" t="s">
        <v>9359</v>
      </c>
      <c r="AA647" t="s">
        <v>9360</v>
      </c>
      <c r="AB647" t="s">
        <v>9361</v>
      </c>
      <c r="AC647" t="s">
        <v>74</v>
      </c>
      <c r="AD647" t="s">
        <v>74</v>
      </c>
      <c r="AE647" t="s">
        <v>74</v>
      </c>
      <c r="AF647" t="s">
        <v>74</v>
      </c>
      <c r="AG647">
        <v>64</v>
      </c>
      <c r="AH647">
        <v>2</v>
      </c>
      <c r="AI647">
        <v>2</v>
      </c>
      <c r="AJ647">
        <v>0</v>
      </c>
      <c r="AK647">
        <v>4</v>
      </c>
      <c r="AL647" t="s">
        <v>86</v>
      </c>
      <c r="AM647" t="s">
        <v>3376</v>
      </c>
      <c r="AN647" t="s">
        <v>7631</v>
      </c>
      <c r="AO647" t="s">
        <v>9347</v>
      </c>
      <c r="AP647" t="s">
        <v>74</v>
      </c>
      <c r="AQ647" t="s">
        <v>9348</v>
      </c>
      <c r="AR647" t="s">
        <v>9349</v>
      </c>
      <c r="AS647" t="s">
        <v>9350</v>
      </c>
      <c r="AT647" t="s">
        <v>74</v>
      </c>
      <c r="AU647">
        <v>2004</v>
      </c>
      <c r="AV647">
        <v>6</v>
      </c>
      <c r="AW647" t="s">
        <v>74</v>
      </c>
      <c r="AX647" t="s">
        <v>74</v>
      </c>
      <c r="AY647" t="s">
        <v>74</v>
      </c>
      <c r="AZ647" t="s">
        <v>74</v>
      </c>
      <c r="BA647" t="s">
        <v>74</v>
      </c>
      <c r="BB647">
        <v>583</v>
      </c>
      <c r="BC647">
        <v>603</v>
      </c>
      <c r="BD647" t="s">
        <v>74</v>
      </c>
      <c r="BE647" t="s">
        <v>74</v>
      </c>
      <c r="BF647" t="s">
        <v>74</v>
      </c>
      <c r="BG647" t="s">
        <v>74</v>
      </c>
      <c r="BH647" t="s">
        <v>74</v>
      </c>
      <c r="BI647">
        <v>21</v>
      </c>
      <c r="BJ647" t="s">
        <v>5962</v>
      </c>
      <c r="BK647" t="s">
        <v>3955</v>
      </c>
      <c r="BL647" t="s">
        <v>5963</v>
      </c>
      <c r="BM647" t="s">
        <v>9351</v>
      </c>
      <c r="BN647" t="s">
        <v>74</v>
      </c>
      <c r="BO647" t="s">
        <v>74</v>
      </c>
      <c r="BP647" t="s">
        <v>74</v>
      </c>
      <c r="BQ647" t="s">
        <v>74</v>
      </c>
      <c r="BR647" t="s">
        <v>99</v>
      </c>
      <c r="BS647" t="s">
        <v>9362</v>
      </c>
      <c r="BT647" t="str">
        <f>HYPERLINK("https%3A%2F%2Fwww.webofscience.com%2Fwos%2Fwoscc%2Ffull-record%2FWOS:000228286800028","View Full Record in Web of Science")</f>
        <v>View Full Record in Web of Science</v>
      </c>
    </row>
    <row r="648" spans="1:72" x14ac:dyDescent="0.15">
      <c r="A648" t="s">
        <v>497</v>
      </c>
      <c r="B648" t="s">
        <v>9363</v>
      </c>
      <c r="C648" t="s">
        <v>74</v>
      </c>
      <c r="D648" t="s">
        <v>9364</v>
      </c>
      <c r="E648" t="s">
        <v>74</v>
      </c>
      <c r="F648" t="s">
        <v>9363</v>
      </c>
      <c r="G648" t="s">
        <v>74</v>
      </c>
      <c r="H648" t="s">
        <v>74</v>
      </c>
      <c r="I648" t="s">
        <v>9365</v>
      </c>
      <c r="J648" t="s">
        <v>9366</v>
      </c>
      <c r="K648" t="s">
        <v>5915</v>
      </c>
      <c r="L648" t="s">
        <v>74</v>
      </c>
      <c r="M648" t="s">
        <v>77</v>
      </c>
      <c r="N648" t="s">
        <v>311</v>
      </c>
      <c r="O648" t="s">
        <v>5916</v>
      </c>
      <c r="P648" t="s">
        <v>5917</v>
      </c>
      <c r="Q648" t="s">
        <v>5918</v>
      </c>
      <c r="R648" t="s">
        <v>74</v>
      </c>
      <c r="S648" t="s">
        <v>74</v>
      </c>
      <c r="T648" t="s">
        <v>9367</v>
      </c>
      <c r="U648" t="s">
        <v>74</v>
      </c>
      <c r="V648" t="s">
        <v>9368</v>
      </c>
      <c r="W648" t="s">
        <v>9369</v>
      </c>
      <c r="X648" t="s">
        <v>4310</v>
      </c>
      <c r="Y648" t="s">
        <v>9370</v>
      </c>
      <c r="Z648" t="s">
        <v>9371</v>
      </c>
      <c r="AA648" t="s">
        <v>4313</v>
      </c>
      <c r="AB648" t="s">
        <v>4314</v>
      </c>
      <c r="AC648" t="s">
        <v>74</v>
      </c>
      <c r="AD648" t="s">
        <v>74</v>
      </c>
      <c r="AE648" t="s">
        <v>74</v>
      </c>
      <c r="AF648" t="s">
        <v>74</v>
      </c>
      <c r="AG648">
        <v>5</v>
      </c>
      <c r="AH648">
        <v>9</v>
      </c>
      <c r="AI648">
        <v>10</v>
      </c>
      <c r="AJ648">
        <v>0</v>
      </c>
      <c r="AK648">
        <v>2</v>
      </c>
      <c r="AL648" t="s">
        <v>213</v>
      </c>
      <c r="AM648" t="s">
        <v>5925</v>
      </c>
      <c r="AN648" t="s">
        <v>5926</v>
      </c>
      <c r="AO648" t="s">
        <v>5927</v>
      </c>
      <c r="AP648" t="s">
        <v>74</v>
      </c>
      <c r="AQ648" t="s">
        <v>74</v>
      </c>
      <c r="AR648" t="s">
        <v>5928</v>
      </c>
      <c r="AS648" t="s">
        <v>74</v>
      </c>
      <c r="AT648" t="s">
        <v>74</v>
      </c>
      <c r="AU648">
        <v>2004</v>
      </c>
      <c r="AV648">
        <v>33</v>
      </c>
      <c r="AW648">
        <v>6</v>
      </c>
      <c r="AX648" t="s">
        <v>74</v>
      </c>
      <c r="AY648" t="s">
        <v>74</v>
      </c>
      <c r="AZ648" t="s">
        <v>74</v>
      </c>
      <c r="BA648" t="s">
        <v>74</v>
      </c>
      <c r="BB648">
        <v>923</v>
      </c>
      <c r="BC648">
        <v>929</v>
      </c>
      <c r="BD648" t="s">
        <v>74</v>
      </c>
      <c r="BE648" t="s">
        <v>9372</v>
      </c>
      <c r="BF648" t="str">
        <f>HYPERLINK("http://dx.doi.org/10.1016/j.asr.2003.08.010","http://dx.doi.org/10.1016/j.asr.2003.08.010")</f>
        <v>http://dx.doi.org/10.1016/j.asr.2003.08.010</v>
      </c>
      <c r="BG648" t="s">
        <v>74</v>
      </c>
      <c r="BH648" t="s">
        <v>74</v>
      </c>
      <c r="BI648">
        <v>7</v>
      </c>
      <c r="BJ648" t="s">
        <v>7850</v>
      </c>
      <c r="BK648" t="s">
        <v>1116</v>
      </c>
      <c r="BL648" t="s">
        <v>7851</v>
      </c>
      <c r="BM648" t="s">
        <v>9373</v>
      </c>
      <c r="BN648" t="s">
        <v>74</v>
      </c>
      <c r="BO648" t="s">
        <v>74</v>
      </c>
      <c r="BP648" t="s">
        <v>74</v>
      </c>
      <c r="BQ648" t="s">
        <v>74</v>
      </c>
      <c r="BR648" t="s">
        <v>99</v>
      </c>
      <c r="BS648" t="s">
        <v>9374</v>
      </c>
      <c r="BT648" t="str">
        <f>HYPERLINK("https%3A%2F%2Fwww.webofscience.com%2Fwos%2Fwoscc%2Ffull-record%2FWOS:000221995500017","View Full Record in Web of Science")</f>
        <v>View Full Record in Web of Science</v>
      </c>
    </row>
    <row r="649" spans="1:72" x14ac:dyDescent="0.15">
      <c r="A649" t="s">
        <v>497</v>
      </c>
      <c r="B649" t="s">
        <v>9375</v>
      </c>
      <c r="C649" t="s">
        <v>74</v>
      </c>
      <c r="D649" t="s">
        <v>9364</v>
      </c>
      <c r="E649" t="s">
        <v>74</v>
      </c>
      <c r="F649" t="s">
        <v>9375</v>
      </c>
      <c r="G649" t="s">
        <v>74</v>
      </c>
      <c r="H649" t="s">
        <v>74</v>
      </c>
      <c r="I649" t="s">
        <v>9376</v>
      </c>
      <c r="J649" t="s">
        <v>9366</v>
      </c>
      <c r="K649" t="s">
        <v>5915</v>
      </c>
      <c r="L649" t="s">
        <v>74</v>
      </c>
      <c r="M649" t="s">
        <v>77</v>
      </c>
      <c r="N649" t="s">
        <v>311</v>
      </c>
      <c r="O649" t="s">
        <v>5916</v>
      </c>
      <c r="P649" t="s">
        <v>5917</v>
      </c>
      <c r="Q649" t="s">
        <v>5918</v>
      </c>
      <c r="R649" t="s">
        <v>74</v>
      </c>
      <c r="S649" t="s">
        <v>74</v>
      </c>
      <c r="T649" t="s">
        <v>9377</v>
      </c>
      <c r="U649" t="s">
        <v>9378</v>
      </c>
      <c r="V649" t="s">
        <v>9379</v>
      </c>
      <c r="W649" t="s">
        <v>9380</v>
      </c>
      <c r="X649" t="s">
        <v>9381</v>
      </c>
      <c r="Y649" t="s">
        <v>9370</v>
      </c>
      <c r="Z649" t="s">
        <v>4312</v>
      </c>
      <c r="AA649" t="s">
        <v>74</v>
      </c>
      <c r="AB649" t="s">
        <v>9382</v>
      </c>
      <c r="AC649" t="s">
        <v>74</v>
      </c>
      <c r="AD649" t="s">
        <v>74</v>
      </c>
      <c r="AE649" t="s">
        <v>74</v>
      </c>
      <c r="AF649" t="s">
        <v>74</v>
      </c>
      <c r="AG649">
        <v>13</v>
      </c>
      <c r="AH649">
        <v>1</v>
      </c>
      <c r="AI649">
        <v>1</v>
      </c>
      <c r="AJ649">
        <v>0</v>
      </c>
      <c r="AK649">
        <v>1</v>
      </c>
      <c r="AL649" t="s">
        <v>213</v>
      </c>
      <c r="AM649" t="s">
        <v>5925</v>
      </c>
      <c r="AN649" t="s">
        <v>5926</v>
      </c>
      <c r="AO649" t="s">
        <v>5927</v>
      </c>
      <c r="AP649" t="s">
        <v>74</v>
      </c>
      <c r="AQ649" t="s">
        <v>74</v>
      </c>
      <c r="AR649" t="s">
        <v>5928</v>
      </c>
      <c r="AS649" t="s">
        <v>74</v>
      </c>
      <c r="AT649" t="s">
        <v>74</v>
      </c>
      <c r="AU649">
        <v>2004</v>
      </c>
      <c r="AV649">
        <v>33</v>
      </c>
      <c r="AW649">
        <v>6</v>
      </c>
      <c r="AX649" t="s">
        <v>74</v>
      </c>
      <c r="AY649" t="s">
        <v>74</v>
      </c>
      <c r="AZ649" t="s">
        <v>74</v>
      </c>
      <c r="BA649" t="s">
        <v>74</v>
      </c>
      <c r="BB649">
        <v>930</v>
      </c>
      <c r="BC649">
        <v>936</v>
      </c>
      <c r="BD649" t="s">
        <v>74</v>
      </c>
      <c r="BE649" t="s">
        <v>9383</v>
      </c>
      <c r="BF649" t="str">
        <f>HYPERLINK("http://dx.doi.org/10.1016/j.asr.2003.08.013","http://dx.doi.org/10.1016/j.asr.2003.08.013")</f>
        <v>http://dx.doi.org/10.1016/j.asr.2003.08.013</v>
      </c>
      <c r="BG649" t="s">
        <v>74</v>
      </c>
      <c r="BH649" t="s">
        <v>74</v>
      </c>
      <c r="BI649">
        <v>7</v>
      </c>
      <c r="BJ649" t="s">
        <v>7850</v>
      </c>
      <c r="BK649" t="s">
        <v>1116</v>
      </c>
      <c r="BL649" t="s">
        <v>7851</v>
      </c>
      <c r="BM649" t="s">
        <v>9373</v>
      </c>
      <c r="BN649" t="s">
        <v>74</v>
      </c>
      <c r="BO649" t="s">
        <v>74</v>
      </c>
      <c r="BP649" t="s">
        <v>74</v>
      </c>
      <c r="BQ649" t="s">
        <v>74</v>
      </c>
      <c r="BR649" t="s">
        <v>99</v>
      </c>
      <c r="BS649" t="s">
        <v>9384</v>
      </c>
      <c r="BT649" t="str">
        <f>HYPERLINK("https%3A%2F%2Fwww.webofscience.com%2Fwos%2Fwoscc%2Ffull-record%2FWOS:000221995500018","View Full Record in Web of Science")</f>
        <v>View Full Record in Web of Science</v>
      </c>
    </row>
    <row r="650" spans="1:72" x14ac:dyDescent="0.15">
      <c r="A650" t="s">
        <v>497</v>
      </c>
      <c r="B650" t="s">
        <v>9385</v>
      </c>
      <c r="C650" t="s">
        <v>74</v>
      </c>
      <c r="D650" t="s">
        <v>9364</v>
      </c>
      <c r="E650" t="s">
        <v>74</v>
      </c>
      <c r="F650" t="s">
        <v>9385</v>
      </c>
      <c r="G650" t="s">
        <v>74</v>
      </c>
      <c r="H650" t="s">
        <v>74</v>
      </c>
      <c r="I650" t="s">
        <v>9386</v>
      </c>
      <c r="J650" t="s">
        <v>9366</v>
      </c>
      <c r="K650" t="s">
        <v>5915</v>
      </c>
      <c r="L650" t="s">
        <v>74</v>
      </c>
      <c r="M650" t="s">
        <v>77</v>
      </c>
      <c r="N650" t="s">
        <v>311</v>
      </c>
      <c r="O650" t="s">
        <v>5916</v>
      </c>
      <c r="P650" t="s">
        <v>5917</v>
      </c>
      <c r="Q650" t="s">
        <v>5918</v>
      </c>
      <c r="R650" t="s">
        <v>74</v>
      </c>
      <c r="S650" t="s">
        <v>74</v>
      </c>
      <c r="T650" t="s">
        <v>9387</v>
      </c>
      <c r="U650" t="s">
        <v>9388</v>
      </c>
      <c r="V650" t="s">
        <v>9389</v>
      </c>
      <c r="W650" t="s">
        <v>9390</v>
      </c>
      <c r="X650" t="s">
        <v>1808</v>
      </c>
      <c r="Y650" t="s">
        <v>9370</v>
      </c>
      <c r="Z650" t="s">
        <v>4312</v>
      </c>
      <c r="AA650" t="s">
        <v>4313</v>
      </c>
      <c r="AB650" t="s">
        <v>4314</v>
      </c>
      <c r="AC650" t="s">
        <v>74</v>
      </c>
      <c r="AD650" t="s">
        <v>74</v>
      </c>
      <c r="AE650" t="s">
        <v>74</v>
      </c>
      <c r="AF650" t="s">
        <v>74</v>
      </c>
      <c r="AG650">
        <v>8</v>
      </c>
      <c r="AH650">
        <v>5</v>
      </c>
      <c r="AI650">
        <v>5</v>
      </c>
      <c r="AJ650">
        <v>0</v>
      </c>
      <c r="AK650">
        <v>2</v>
      </c>
      <c r="AL650" t="s">
        <v>213</v>
      </c>
      <c r="AM650" t="s">
        <v>5925</v>
      </c>
      <c r="AN650" t="s">
        <v>5926</v>
      </c>
      <c r="AO650" t="s">
        <v>5927</v>
      </c>
      <c r="AP650" t="s">
        <v>74</v>
      </c>
      <c r="AQ650" t="s">
        <v>74</v>
      </c>
      <c r="AR650" t="s">
        <v>5928</v>
      </c>
      <c r="AS650" t="s">
        <v>74</v>
      </c>
      <c r="AT650" t="s">
        <v>74</v>
      </c>
      <c r="AU650">
        <v>2004</v>
      </c>
      <c r="AV650">
        <v>33</v>
      </c>
      <c r="AW650">
        <v>6</v>
      </c>
      <c r="AX650" t="s">
        <v>74</v>
      </c>
      <c r="AY650" t="s">
        <v>74</v>
      </c>
      <c r="AZ650" t="s">
        <v>74</v>
      </c>
      <c r="BA650" t="s">
        <v>74</v>
      </c>
      <c r="BB650">
        <v>937</v>
      </c>
      <c r="BC650">
        <v>942</v>
      </c>
      <c r="BD650" t="s">
        <v>74</v>
      </c>
      <c r="BE650" t="s">
        <v>9391</v>
      </c>
      <c r="BF650" t="str">
        <f>HYPERLINK("http://dx.doi.org/10.1016/j.asr.2003.08.012","http://dx.doi.org/10.1016/j.asr.2003.08.012")</f>
        <v>http://dx.doi.org/10.1016/j.asr.2003.08.012</v>
      </c>
      <c r="BG650" t="s">
        <v>74</v>
      </c>
      <c r="BH650" t="s">
        <v>74</v>
      </c>
      <c r="BI650">
        <v>6</v>
      </c>
      <c r="BJ650" t="s">
        <v>7850</v>
      </c>
      <c r="BK650" t="s">
        <v>1116</v>
      </c>
      <c r="BL650" t="s">
        <v>7851</v>
      </c>
      <c r="BM650" t="s">
        <v>9373</v>
      </c>
      <c r="BN650" t="s">
        <v>74</v>
      </c>
      <c r="BO650" t="s">
        <v>74</v>
      </c>
      <c r="BP650" t="s">
        <v>74</v>
      </c>
      <c r="BQ650" t="s">
        <v>74</v>
      </c>
      <c r="BR650" t="s">
        <v>99</v>
      </c>
      <c r="BS650" t="s">
        <v>9392</v>
      </c>
      <c r="BT650" t="str">
        <f>HYPERLINK("https%3A%2F%2Fwww.webofscience.com%2Fwos%2Fwoscc%2Ffull-record%2FWOS:000221995500019","View Full Record in Web of Science")</f>
        <v>View Full Record in Web of Science</v>
      </c>
    </row>
    <row r="651" spans="1:72" x14ac:dyDescent="0.15">
      <c r="A651" t="s">
        <v>72</v>
      </c>
      <c r="B651" t="s">
        <v>9393</v>
      </c>
      <c r="C651" t="s">
        <v>74</v>
      </c>
      <c r="D651" t="s">
        <v>74</v>
      </c>
      <c r="E651" t="s">
        <v>74</v>
      </c>
      <c r="F651" t="s">
        <v>9393</v>
      </c>
      <c r="G651" t="s">
        <v>74</v>
      </c>
      <c r="H651" t="s">
        <v>74</v>
      </c>
      <c r="I651" t="s">
        <v>9394</v>
      </c>
      <c r="J651" t="s">
        <v>9395</v>
      </c>
      <c r="K651" t="s">
        <v>74</v>
      </c>
      <c r="L651" t="s">
        <v>74</v>
      </c>
      <c r="M651" t="s">
        <v>77</v>
      </c>
      <c r="N651" t="s">
        <v>78</v>
      </c>
      <c r="O651" t="s">
        <v>74</v>
      </c>
      <c r="P651" t="s">
        <v>74</v>
      </c>
      <c r="Q651" t="s">
        <v>74</v>
      </c>
      <c r="R651" t="s">
        <v>74</v>
      </c>
      <c r="S651" t="s">
        <v>74</v>
      </c>
      <c r="T651" t="s">
        <v>74</v>
      </c>
      <c r="U651" t="s">
        <v>9396</v>
      </c>
      <c r="V651" t="s">
        <v>9397</v>
      </c>
      <c r="W651" t="s">
        <v>9398</v>
      </c>
      <c r="X651" t="s">
        <v>9399</v>
      </c>
      <c r="Y651" t="s">
        <v>1932</v>
      </c>
      <c r="Z651" t="s">
        <v>7765</v>
      </c>
      <c r="AA651" t="s">
        <v>9400</v>
      </c>
      <c r="AB651" t="s">
        <v>9401</v>
      </c>
      <c r="AC651" t="s">
        <v>74</v>
      </c>
      <c r="AD651" t="s">
        <v>74</v>
      </c>
      <c r="AE651" t="s">
        <v>74</v>
      </c>
      <c r="AF651" t="s">
        <v>74</v>
      </c>
      <c r="AG651">
        <v>22</v>
      </c>
      <c r="AH651">
        <v>17</v>
      </c>
      <c r="AI651">
        <v>19</v>
      </c>
      <c r="AJ651">
        <v>0</v>
      </c>
      <c r="AK651">
        <v>9</v>
      </c>
      <c r="AL651" t="s">
        <v>198</v>
      </c>
      <c r="AM651" t="s">
        <v>178</v>
      </c>
      <c r="AN651" t="s">
        <v>179</v>
      </c>
      <c r="AO651" t="s">
        <v>9402</v>
      </c>
      <c r="AP651" t="s">
        <v>9403</v>
      </c>
      <c r="AQ651" t="s">
        <v>74</v>
      </c>
      <c r="AR651" t="s">
        <v>9404</v>
      </c>
      <c r="AS651" t="s">
        <v>9405</v>
      </c>
      <c r="AT651" t="s">
        <v>4117</v>
      </c>
      <c r="AU651">
        <v>2004</v>
      </c>
      <c r="AV651">
        <v>79</v>
      </c>
      <c r="AW651">
        <v>1</v>
      </c>
      <c r="AX651" t="s">
        <v>74</v>
      </c>
      <c r="AY651" t="s">
        <v>74</v>
      </c>
      <c r="AZ651" t="s">
        <v>74</v>
      </c>
      <c r="BA651" t="s">
        <v>74</v>
      </c>
      <c r="BB651">
        <v>26</v>
      </c>
      <c r="BC651">
        <v>31</v>
      </c>
      <c r="BD651" t="s">
        <v>74</v>
      </c>
      <c r="BE651" t="s">
        <v>9406</v>
      </c>
      <c r="BF651" t="str">
        <f>HYPERLINK("http://dx.doi.org/10.1562/0031-8655(2004)79&lt;26:COCCAB&gt;2.0.CO;2","http://dx.doi.org/10.1562/0031-8655(2004)79&lt;26:COCCAB&gt;2.0.CO;2")</f>
        <v>http://dx.doi.org/10.1562/0031-8655(2004)79&lt;26:COCCAB&gt;2.0.CO;2</v>
      </c>
      <c r="BG651" t="s">
        <v>74</v>
      </c>
      <c r="BH651" t="s">
        <v>74</v>
      </c>
      <c r="BI651">
        <v>6</v>
      </c>
      <c r="BJ651" t="s">
        <v>3852</v>
      </c>
      <c r="BK651" t="s">
        <v>96</v>
      </c>
      <c r="BL651" t="s">
        <v>3852</v>
      </c>
      <c r="BM651" t="s">
        <v>9407</v>
      </c>
      <c r="BN651">
        <v>14974712</v>
      </c>
      <c r="BO651" t="s">
        <v>74</v>
      </c>
      <c r="BP651" t="s">
        <v>74</v>
      </c>
      <c r="BQ651" t="s">
        <v>74</v>
      </c>
      <c r="BR651" t="s">
        <v>99</v>
      </c>
      <c r="BS651" t="s">
        <v>9408</v>
      </c>
      <c r="BT651" t="str">
        <f>HYPERLINK("https%3A%2F%2Fwww.webofscience.com%2Fwos%2Fwoscc%2Ffull-record%2FWOS:000188259900004","View Full Record in Web of Science")</f>
        <v>View Full Record in Web of Science</v>
      </c>
    </row>
    <row r="652" spans="1:72" x14ac:dyDescent="0.15">
      <c r="A652" t="s">
        <v>72</v>
      </c>
      <c r="B652" t="s">
        <v>9409</v>
      </c>
      <c r="C652" t="s">
        <v>74</v>
      </c>
      <c r="D652" t="s">
        <v>74</v>
      </c>
      <c r="E652" t="s">
        <v>74</v>
      </c>
      <c r="F652" t="s">
        <v>9409</v>
      </c>
      <c r="G652" t="s">
        <v>74</v>
      </c>
      <c r="H652" t="s">
        <v>74</v>
      </c>
      <c r="I652" t="s">
        <v>9410</v>
      </c>
      <c r="J652" t="s">
        <v>9411</v>
      </c>
      <c r="K652" t="s">
        <v>74</v>
      </c>
      <c r="L652" t="s">
        <v>74</v>
      </c>
      <c r="M652" t="s">
        <v>77</v>
      </c>
      <c r="N652" t="s">
        <v>78</v>
      </c>
      <c r="O652" t="s">
        <v>74</v>
      </c>
      <c r="P652" t="s">
        <v>74</v>
      </c>
      <c r="Q652" t="s">
        <v>74</v>
      </c>
      <c r="R652" t="s">
        <v>74</v>
      </c>
      <c r="S652" t="s">
        <v>74</v>
      </c>
      <c r="T652" t="s">
        <v>9412</v>
      </c>
      <c r="U652" t="s">
        <v>9413</v>
      </c>
      <c r="V652" t="s">
        <v>9414</v>
      </c>
      <c r="W652" t="s">
        <v>9415</v>
      </c>
      <c r="X652" t="s">
        <v>2758</v>
      </c>
      <c r="Y652" t="s">
        <v>9416</v>
      </c>
      <c r="Z652" t="s">
        <v>9417</v>
      </c>
      <c r="AA652" t="s">
        <v>9418</v>
      </c>
      <c r="AB652" t="s">
        <v>9419</v>
      </c>
      <c r="AC652" t="s">
        <v>74</v>
      </c>
      <c r="AD652" t="s">
        <v>74</v>
      </c>
      <c r="AE652" t="s">
        <v>74</v>
      </c>
      <c r="AF652" t="s">
        <v>74</v>
      </c>
      <c r="AG652">
        <v>26</v>
      </c>
      <c r="AH652">
        <v>2</v>
      </c>
      <c r="AI652">
        <v>2</v>
      </c>
      <c r="AJ652">
        <v>0</v>
      </c>
      <c r="AK652">
        <v>6</v>
      </c>
      <c r="AL652" t="s">
        <v>86</v>
      </c>
      <c r="AM652" t="s">
        <v>3376</v>
      </c>
      <c r="AN652" t="s">
        <v>3377</v>
      </c>
      <c r="AO652" t="s">
        <v>9420</v>
      </c>
      <c r="AP652" t="s">
        <v>74</v>
      </c>
      <c r="AQ652" t="s">
        <v>74</v>
      </c>
      <c r="AR652" t="s">
        <v>9411</v>
      </c>
      <c r="AS652" t="s">
        <v>9421</v>
      </c>
      <c r="AT652" t="s">
        <v>74</v>
      </c>
      <c r="AU652">
        <v>2004</v>
      </c>
      <c r="AV652">
        <v>42</v>
      </c>
      <c r="AW652">
        <v>4</v>
      </c>
      <c r="AX652" t="s">
        <v>74</v>
      </c>
      <c r="AY652" t="s">
        <v>74</v>
      </c>
      <c r="AZ652" t="s">
        <v>74</v>
      </c>
      <c r="BA652" t="s">
        <v>74</v>
      </c>
      <c r="BB652">
        <v>607</v>
      </c>
      <c r="BC652">
        <v>613</v>
      </c>
      <c r="BD652" t="s">
        <v>74</v>
      </c>
      <c r="BE652" t="s">
        <v>9422</v>
      </c>
      <c r="BF652" t="str">
        <f>HYPERLINK("http://dx.doi.org/10.1007/S11099-005-0020-3","http://dx.doi.org/10.1007/S11099-005-0020-3")</f>
        <v>http://dx.doi.org/10.1007/S11099-005-0020-3</v>
      </c>
      <c r="BG652" t="s">
        <v>74</v>
      </c>
      <c r="BH652" t="s">
        <v>74</v>
      </c>
      <c r="BI652">
        <v>7</v>
      </c>
      <c r="BJ652" t="s">
        <v>1903</v>
      </c>
      <c r="BK652" t="s">
        <v>96</v>
      </c>
      <c r="BL652" t="s">
        <v>1903</v>
      </c>
      <c r="BM652" t="s">
        <v>9423</v>
      </c>
      <c r="BN652" t="s">
        <v>74</v>
      </c>
      <c r="BO652" t="s">
        <v>541</v>
      </c>
      <c r="BP652" t="s">
        <v>74</v>
      </c>
      <c r="BQ652" t="s">
        <v>74</v>
      </c>
      <c r="BR652" t="s">
        <v>99</v>
      </c>
      <c r="BS652" t="s">
        <v>9424</v>
      </c>
      <c r="BT652" t="str">
        <f>HYPERLINK("https%3A%2F%2Fwww.webofscience.com%2Fwos%2Fwoscc%2Ffull-record%2FWOS:000227107400018","View Full Record in Web of Science")</f>
        <v>View Full Record in Web of Science</v>
      </c>
    </row>
    <row r="653" spans="1:72" x14ac:dyDescent="0.15">
      <c r="A653" t="s">
        <v>72</v>
      </c>
      <c r="B653" t="s">
        <v>9425</v>
      </c>
      <c r="C653" t="s">
        <v>74</v>
      </c>
      <c r="D653" t="s">
        <v>74</v>
      </c>
      <c r="E653" t="s">
        <v>74</v>
      </c>
      <c r="F653" t="s">
        <v>9425</v>
      </c>
      <c r="G653" t="s">
        <v>74</v>
      </c>
      <c r="H653" t="s">
        <v>74</v>
      </c>
      <c r="I653" t="s">
        <v>9426</v>
      </c>
      <c r="J653" t="s">
        <v>9427</v>
      </c>
      <c r="K653" t="s">
        <v>74</v>
      </c>
      <c r="L653" t="s">
        <v>74</v>
      </c>
      <c r="M653" t="s">
        <v>77</v>
      </c>
      <c r="N653" t="s">
        <v>311</v>
      </c>
      <c r="O653" t="s">
        <v>6882</v>
      </c>
      <c r="P653">
        <v>2003</v>
      </c>
      <c r="Q653" t="s">
        <v>6884</v>
      </c>
      <c r="R653" t="s">
        <v>74</v>
      </c>
      <c r="S653" t="s">
        <v>74</v>
      </c>
      <c r="T653" t="s">
        <v>9428</v>
      </c>
      <c r="U653" t="s">
        <v>9429</v>
      </c>
      <c r="V653" t="s">
        <v>9430</v>
      </c>
      <c r="W653" t="s">
        <v>9431</v>
      </c>
      <c r="X653" t="s">
        <v>9432</v>
      </c>
      <c r="Y653" t="s">
        <v>9433</v>
      </c>
      <c r="Z653" t="s">
        <v>9434</v>
      </c>
      <c r="AA653" t="s">
        <v>9435</v>
      </c>
      <c r="AB653" t="s">
        <v>9436</v>
      </c>
      <c r="AC653" t="s">
        <v>74</v>
      </c>
      <c r="AD653" t="s">
        <v>74</v>
      </c>
      <c r="AE653" t="s">
        <v>74</v>
      </c>
      <c r="AF653" t="s">
        <v>74</v>
      </c>
      <c r="AG653">
        <v>26</v>
      </c>
      <c r="AH653">
        <v>11</v>
      </c>
      <c r="AI653">
        <v>12</v>
      </c>
      <c r="AJ653">
        <v>0</v>
      </c>
      <c r="AK653">
        <v>12</v>
      </c>
      <c r="AL653" t="s">
        <v>213</v>
      </c>
      <c r="AM653" t="s">
        <v>214</v>
      </c>
      <c r="AN653" t="s">
        <v>215</v>
      </c>
      <c r="AO653" t="s">
        <v>9437</v>
      </c>
      <c r="AP653" t="s">
        <v>74</v>
      </c>
      <c r="AQ653" t="s">
        <v>74</v>
      </c>
      <c r="AR653" t="s">
        <v>9438</v>
      </c>
      <c r="AS653" t="s">
        <v>9439</v>
      </c>
      <c r="AT653" t="s">
        <v>74</v>
      </c>
      <c r="AU653">
        <v>2004</v>
      </c>
      <c r="AV653">
        <v>29</v>
      </c>
      <c r="AW653" t="s">
        <v>9440</v>
      </c>
      <c r="AX653" t="s">
        <v>74</v>
      </c>
      <c r="AY653" t="s">
        <v>74</v>
      </c>
      <c r="AZ653" t="s">
        <v>74</v>
      </c>
      <c r="BA653" t="s">
        <v>74</v>
      </c>
      <c r="BB653">
        <v>885</v>
      </c>
      <c r="BC653">
        <v>897</v>
      </c>
      <c r="BD653" t="s">
        <v>74</v>
      </c>
      <c r="BE653" t="s">
        <v>9441</v>
      </c>
      <c r="BF653" t="str">
        <f>HYPERLINK("http://dx.doi.org/10.1016/j.pce.2004.06.004","http://dx.doi.org/10.1016/j.pce.2004.06.004")</f>
        <v>http://dx.doi.org/10.1016/j.pce.2004.06.004</v>
      </c>
      <c r="BG653" t="s">
        <v>74</v>
      </c>
      <c r="BH653" t="s">
        <v>74</v>
      </c>
      <c r="BI653">
        <v>13</v>
      </c>
      <c r="BJ653" t="s">
        <v>9442</v>
      </c>
      <c r="BK653" t="s">
        <v>1116</v>
      </c>
      <c r="BL653" t="s">
        <v>9443</v>
      </c>
      <c r="BM653" t="s">
        <v>9444</v>
      </c>
      <c r="BN653" t="s">
        <v>74</v>
      </c>
      <c r="BO653" t="s">
        <v>74</v>
      </c>
      <c r="BP653" t="s">
        <v>74</v>
      </c>
      <c r="BQ653" t="s">
        <v>74</v>
      </c>
      <c r="BR653" t="s">
        <v>99</v>
      </c>
      <c r="BS653" t="s">
        <v>9445</v>
      </c>
      <c r="BT653" t="str">
        <f>HYPERLINK("https%3A%2F%2Fwww.webofscience.com%2Fwos%2Fwoscc%2Ffull-record%2FWOS:000224261800004","View Full Record in Web of Science")</f>
        <v>View Full Record in Web of Science</v>
      </c>
    </row>
    <row r="654" spans="1:72" x14ac:dyDescent="0.15">
      <c r="A654" t="s">
        <v>72</v>
      </c>
      <c r="B654" t="s">
        <v>9446</v>
      </c>
      <c r="C654" t="s">
        <v>74</v>
      </c>
      <c r="D654" t="s">
        <v>74</v>
      </c>
      <c r="E654" t="s">
        <v>74</v>
      </c>
      <c r="F654" t="s">
        <v>9446</v>
      </c>
      <c r="G654" t="s">
        <v>74</v>
      </c>
      <c r="H654" t="s">
        <v>74</v>
      </c>
      <c r="I654" t="s">
        <v>9447</v>
      </c>
      <c r="J654" t="s">
        <v>9448</v>
      </c>
      <c r="K654" t="s">
        <v>74</v>
      </c>
      <c r="L654" t="s">
        <v>74</v>
      </c>
      <c r="M654" t="s">
        <v>77</v>
      </c>
      <c r="N654" t="s">
        <v>311</v>
      </c>
      <c r="O654" t="s">
        <v>9449</v>
      </c>
      <c r="P654">
        <v>2001</v>
      </c>
      <c r="Q654" t="s">
        <v>9450</v>
      </c>
      <c r="R654" t="s">
        <v>74</v>
      </c>
      <c r="S654" t="s">
        <v>74</v>
      </c>
      <c r="T654" t="s">
        <v>9451</v>
      </c>
      <c r="U654" t="s">
        <v>9452</v>
      </c>
      <c r="V654" t="s">
        <v>9453</v>
      </c>
      <c r="W654" t="s">
        <v>9454</v>
      </c>
      <c r="X654" t="s">
        <v>9455</v>
      </c>
      <c r="Y654" t="s">
        <v>9456</v>
      </c>
      <c r="Z654" t="s">
        <v>9457</v>
      </c>
      <c r="AA654" t="s">
        <v>9458</v>
      </c>
      <c r="AB654" t="s">
        <v>9459</v>
      </c>
      <c r="AC654" t="s">
        <v>74</v>
      </c>
      <c r="AD654" t="s">
        <v>74</v>
      </c>
      <c r="AE654" t="s">
        <v>74</v>
      </c>
      <c r="AF654" t="s">
        <v>74</v>
      </c>
      <c r="AG654">
        <v>80</v>
      </c>
      <c r="AH654">
        <v>112</v>
      </c>
      <c r="AI654">
        <v>124</v>
      </c>
      <c r="AJ654">
        <v>1</v>
      </c>
      <c r="AK654">
        <v>28</v>
      </c>
      <c r="AL654" t="s">
        <v>213</v>
      </c>
      <c r="AM654" t="s">
        <v>214</v>
      </c>
      <c r="AN654" t="s">
        <v>215</v>
      </c>
      <c r="AO654" t="s">
        <v>9460</v>
      </c>
      <c r="AP654" t="s">
        <v>74</v>
      </c>
      <c r="AQ654" t="s">
        <v>74</v>
      </c>
      <c r="AR654" t="s">
        <v>9461</v>
      </c>
      <c r="AS654" t="s">
        <v>9462</v>
      </c>
      <c r="AT654" t="s">
        <v>7182</v>
      </c>
      <c r="AU654">
        <v>2004</v>
      </c>
      <c r="AV654">
        <v>52</v>
      </c>
      <c r="AW654" t="s">
        <v>3766</v>
      </c>
      <c r="AX654" t="s">
        <v>74</v>
      </c>
      <c r="AY654" t="s">
        <v>74</v>
      </c>
      <c r="AZ654" t="s">
        <v>74</v>
      </c>
      <c r="BA654" t="s">
        <v>74</v>
      </c>
      <c r="BB654">
        <v>229</v>
      </c>
      <c r="BC654">
        <v>237</v>
      </c>
      <c r="BD654" t="s">
        <v>74</v>
      </c>
      <c r="BE654" t="s">
        <v>9463</v>
      </c>
      <c r="BF654" t="str">
        <f>HYPERLINK("http://dx.doi.org/10.1016/j.pss.2003.08.019","http://dx.doi.org/10.1016/j.pss.2003.08.019")</f>
        <v>http://dx.doi.org/10.1016/j.pss.2003.08.019</v>
      </c>
      <c r="BG654" t="s">
        <v>74</v>
      </c>
      <c r="BH654" t="s">
        <v>74</v>
      </c>
      <c r="BI654">
        <v>9</v>
      </c>
      <c r="BJ654" t="s">
        <v>395</v>
      </c>
      <c r="BK654" t="s">
        <v>1116</v>
      </c>
      <c r="BL654" t="s">
        <v>395</v>
      </c>
      <c r="BM654" t="s">
        <v>9464</v>
      </c>
      <c r="BN654" t="s">
        <v>74</v>
      </c>
      <c r="BO654" t="s">
        <v>74</v>
      </c>
      <c r="BP654" t="s">
        <v>74</v>
      </c>
      <c r="BQ654" t="s">
        <v>74</v>
      </c>
      <c r="BR654" t="s">
        <v>99</v>
      </c>
      <c r="BS654" t="s">
        <v>9465</v>
      </c>
      <c r="BT654" t="str">
        <f>HYPERLINK("https%3A%2F%2Fwww.webofscience.com%2Fwos%2Fwoscc%2Ffull-record%2FWOS:000188733800026","View Full Record in Web of Science")</f>
        <v>View Full Record in Web of Science</v>
      </c>
    </row>
    <row r="655" spans="1:72" x14ac:dyDescent="0.15">
      <c r="A655" t="s">
        <v>497</v>
      </c>
      <c r="B655" t="s">
        <v>5911</v>
      </c>
      <c r="C655" t="s">
        <v>74</v>
      </c>
      <c r="D655" t="s">
        <v>9466</v>
      </c>
      <c r="E655" t="s">
        <v>74</v>
      </c>
      <c r="F655" t="s">
        <v>5911</v>
      </c>
      <c r="G655" t="s">
        <v>74</v>
      </c>
      <c r="H655" t="s">
        <v>74</v>
      </c>
      <c r="I655" t="s">
        <v>9467</v>
      </c>
      <c r="J655" t="s">
        <v>9468</v>
      </c>
      <c r="K655" t="s">
        <v>7834</v>
      </c>
      <c r="L655" t="s">
        <v>74</v>
      </c>
      <c r="M655" t="s">
        <v>77</v>
      </c>
      <c r="N655" t="s">
        <v>311</v>
      </c>
      <c r="O655" t="s">
        <v>5916</v>
      </c>
      <c r="P655" t="s">
        <v>5917</v>
      </c>
      <c r="Q655" t="s">
        <v>5918</v>
      </c>
      <c r="R655" t="s">
        <v>74</v>
      </c>
      <c r="S655" t="s">
        <v>74</v>
      </c>
      <c r="T655" t="s">
        <v>9469</v>
      </c>
      <c r="U655" t="s">
        <v>9470</v>
      </c>
      <c r="V655" t="s">
        <v>9471</v>
      </c>
      <c r="W655" t="s">
        <v>9472</v>
      </c>
      <c r="X655" t="s">
        <v>82</v>
      </c>
      <c r="Y655" t="s">
        <v>9473</v>
      </c>
      <c r="Z655" t="s">
        <v>5924</v>
      </c>
      <c r="AA655" t="s">
        <v>9474</v>
      </c>
      <c r="AB655" t="s">
        <v>74</v>
      </c>
      <c r="AC655" t="s">
        <v>74</v>
      </c>
      <c r="AD655" t="s">
        <v>74</v>
      </c>
      <c r="AE655" t="s">
        <v>74</v>
      </c>
      <c r="AF655" t="s">
        <v>74</v>
      </c>
      <c r="AG655">
        <v>27</v>
      </c>
      <c r="AH655">
        <v>7</v>
      </c>
      <c r="AI655">
        <v>7</v>
      </c>
      <c r="AJ655">
        <v>0</v>
      </c>
      <c r="AK655">
        <v>4</v>
      </c>
      <c r="AL655" t="s">
        <v>213</v>
      </c>
      <c r="AM655" t="s">
        <v>5925</v>
      </c>
      <c r="AN655" t="s">
        <v>5926</v>
      </c>
      <c r="AO655" t="s">
        <v>5927</v>
      </c>
      <c r="AP655" t="s">
        <v>74</v>
      </c>
      <c r="AQ655" t="s">
        <v>74</v>
      </c>
      <c r="AR655" t="s">
        <v>7848</v>
      </c>
      <c r="AS655" t="s">
        <v>74</v>
      </c>
      <c r="AT655" t="s">
        <v>74</v>
      </c>
      <c r="AU655">
        <v>2004</v>
      </c>
      <c r="AV655">
        <v>34</v>
      </c>
      <c r="AW655">
        <v>8</v>
      </c>
      <c r="AX655" t="s">
        <v>74</v>
      </c>
      <c r="AY655" t="s">
        <v>74</v>
      </c>
      <c r="AZ655" t="s">
        <v>74</v>
      </c>
      <c r="BA655" t="s">
        <v>74</v>
      </c>
      <c r="BB655">
        <v>1747</v>
      </c>
      <c r="BC655" t="s">
        <v>1135</v>
      </c>
      <c r="BD655" t="s">
        <v>74</v>
      </c>
      <c r="BE655" t="s">
        <v>9475</v>
      </c>
      <c r="BF655" t="str">
        <f>HYPERLINK("http://dx.doi.org/10.1016/j.asr.2003.01.025","http://dx.doi.org/10.1016/j.asr.2003.01.025")</f>
        <v>http://dx.doi.org/10.1016/j.asr.2003.01.025</v>
      </c>
      <c r="BG655" t="s">
        <v>74</v>
      </c>
      <c r="BH655" t="s">
        <v>74</v>
      </c>
      <c r="BI655">
        <v>2</v>
      </c>
      <c r="BJ655" t="s">
        <v>7850</v>
      </c>
      <c r="BK655" t="s">
        <v>1116</v>
      </c>
      <c r="BL655" t="s">
        <v>7851</v>
      </c>
      <c r="BM655" t="s">
        <v>9476</v>
      </c>
      <c r="BN655" t="s">
        <v>74</v>
      </c>
      <c r="BO655" t="s">
        <v>74</v>
      </c>
      <c r="BP655" t="s">
        <v>74</v>
      </c>
      <c r="BQ655" t="s">
        <v>74</v>
      </c>
      <c r="BR655" t="s">
        <v>99</v>
      </c>
      <c r="BS655" t="s">
        <v>9477</v>
      </c>
      <c r="BT655" t="str">
        <f>HYPERLINK("https%3A%2F%2Fwww.webofscience.com%2Fwos%2Fwoscc%2Ffull-record%2FWOS:000225594400016","View Full Record in Web of Science")</f>
        <v>View Full Record in Web of Science</v>
      </c>
    </row>
    <row r="656" spans="1:72" x14ac:dyDescent="0.15">
      <c r="A656" t="s">
        <v>497</v>
      </c>
      <c r="B656" t="s">
        <v>9478</v>
      </c>
      <c r="C656" t="s">
        <v>74</v>
      </c>
      <c r="D656" t="s">
        <v>9466</v>
      </c>
      <c r="E656" t="s">
        <v>74</v>
      </c>
      <c r="F656" t="s">
        <v>9478</v>
      </c>
      <c r="G656" t="s">
        <v>74</v>
      </c>
      <c r="H656" t="s">
        <v>74</v>
      </c>
      <c r="I656" t="s">
        <v>9479</v>
      </c>
      <c r="J656" t="s">
        <v>9468</v>
      </c>
      <c r="K656" t="s">
        <v>7834</v>
      </c>
      <c r="L656" t="s">
        <v>74</v>
      </c>
      <c r="M656" t="s">
        <v>77</v>
      </c>
      <c r="N656" t="s">
        <v>311</v>
      </c>
      <c r="O656" t="s">
        <v>5916</v>
      </c>
      <c r="P656" t="s">
        <v>5917</v>
      </c>
      <c r="Q656" t="s">
        <v>5918</v>
      </c>
      <c r="R656" t="s">
        <v>74</v>
      </c>
      <c r="S656" t="s">
        <v>74</v>
      </c>
      <c r="T656" t="s">
        <v>9480</v>
      </c>
      <c r="U656" t="s">
        <v>74</v>
      </c>
      <c r="V656" t="s">
        <v>9481</v>
      </c>
      <c r="W656" t="s">
        <v>9482</v>
      </c>
      <c r="X656" t="s">
        <v>9483</v>
      </c>
      <c r="Y656" t="s">
        <v>9484</v>
      </c>
      <c r="Z656" t="s">
        <v>9485</v>
      </c>
      <c r="AA656" t="s">
        <v>9486</v>
      </c>
      <c r="AB656" t="s">
        <v>9487</v>
      </c>
      <c r="AC656" t="s">
        <v>74</v>
      </c>
      <c r="AD656" t="s">
        <v>74</v>
      </c>
      <c r="AE656" t="s">
        <v>74</v>
      </c>
      <c r="AF656" t="s">
        <v>74</v>
      </c>
      <c r="AG656">
        <v>3</v>
      </c>
      <c r="AH656">
        <v>51</v>
      </c>
      <c r="AI656">
        <v>53</v>
      </c>
      <c r="AJ656">
        <v>2</v>
      </c>
      <c r="AK656">
        <v>13</v>
      </c>
      <c r="AL656" t="s">
        <v>213</v>
      </c>
      <c r="AM656" t="s">
        <v>5925</v>
      </c>
      <c r="AN656" t="s">
        <v>5926</v>
      </c>
      <c r="AO656" t="s">
        <v>5927</v>
      </c>
      <c r="AP656" t="s">
        <v>74</v>
      </c>
      <c r="AQ656" t="s">
        <v>74</v>
      </c>
      <c r="AR656" t="s">
        <v>7848</v>
      </c>
      <c r="AS656" t="s">
        <v>74</v>
      </c>
      <c r="AT656" t="s">
        <v>74</v>
      </c>
      <c r="AU656">
        <v>2004</v>
      </c>
      <c r="AV656">
        <v>34</v>
      </c>
      <c r="AW656">
        <v>8</v>
      </c>
      <c r="AX656" t="s">
        <v>74</v>
      </c>
      <c r="AY656" t="s">
        <v>74</v>
      </c>
      <c r="AZ656" t="s">
        <v>74</v>
      </c>
      <c r="BA656" t="s">
        <v>74</v>
      </c>
      <c r="BB656">
        <v>1755</v>
      </c>
      <c r="BC656">
        <v>1762</v>
      </c>
      <c r="BD656" t="s">
        <v>74</v>
      </c>
      <c r="BE656" t="s">
        <v>9488</v>
      </c>
      <c r="BF656" t="str">
        <f>HYPERLINK("http://dx.doi.org/10.1016/j.asr.2003.04.058","http://dx.doi.org/10.1016/j.asr.2003.04.058")</f>
        <v>http://dx.doi.org/10.1016/j.asr.2003.04.058</v>
      </c>
      <c r="BG656" t="s">
        <v>74</v>
      </c>
      <c r="BH656" t="s">
        <v>74</v>
      </c>
      <c r="BI656">
        <v>8</v>
      </c>
      <c r="BJ656" t="s">
        <v>7850</v>
      </c>
      <c r="BK656" t="s">
        <v>1116</v>
      </c>
      <c r="BL656" t="s">
        <v>7851</v>
      </c>
      <c r="BM656" t="s">
        <v>9476</v>
      </c>
      <c r="BN656" t="s">
        <v>74</v>
      </c>
      <c r="BO656" t="s">
        <v>74</v>
      </c>
      <c r="BP656" t="s">
        <v>74</v>
      </c>
      <c r="BQ656" t="s">
        <v>74</v>
      </c>
      <c r="BR656" t="s">
        <v>99</v>
      </c>
      <c r="BS656" t="s">
        <v>9489</v>
      </c>
      <c r="BT656" t="str">
        <f>HYPERLINK("https%3A%2F%2Fwww.webofscience.com%2Fwos%2Fwoscc%2Ffull-record%2FWOS:000225594400017","View Full Record in Web of Science")</f>
        <v>View Full Record in Web of Science</v>
      </c>
    </row>
    <row r="657" spans="1:72" x14ac:dyDescent="0.15">
      <c r="A657" t="s">
        <v>497</v>
      </c>
      <c r="B657" t="s">
        <v>9490</v>
      </c>
      <c r="C657" t="s">
        <v>74</v>
      </c>
      <c r="D657" t="s">
        <v>9466</v>
      </c>
      <c r="E657" t="s">
        <v>74</v>
      </c>
      <c r="F657" t="s">
        <v>9490</v>
      </c>
      <c r="G657" t="s">
        <v>74</v>
      </c>
      <c r="H657" t="s">
        <v>74</v>
      </c>
      <c r="I657" t="s">
        <v>9491</v>
      </c>
      <c r="J657" t="s">
        <v>9468</v>
      </c>
      <c r="K657" t="s">
        <v>7834</v>
      </c>
      <c r="L657" t="s">
        <v>74</v>
      </c>
      <c r="M657" t="s">
        <v>77</v>
      </c>
      <c r="N657" t="s">
        <v>311</v>
      </c>
      <c r="O657" t="s">
        <v>5916</v>
      </c>
      <c r="P657" t="s">
        <v>5917</v>
      </c>
      <c r="Q657" t="s">
        <v>5918</v>
      </c>
      <c r="R657" t="s">
        <v>74</v>
      </c>
      <c r="S657" t="s">
        <v>74</v>
      </c>
      <c r="T657" t="s">
        <v>9492</v>
      </c>
      <c r="U657" t="s">
        <v>9493</v>
      </c>
      <c r="V657" t="s">
        <v>9494</v>
      </c>
      <c r="W657" t="s">
        <v>9495</v>
      </c>
      <c r="X657" t="s">
        <v>9496</v>
      </c>
      <c r="Y657" t="s">
        <v>9497</v>
      </c>
      <c r="Z657" t="s">
        <v>9498</v>
      </c>
      <c r="AA657" t="s">
        <v>9474</v>
      </c>
      <c r="AB657" t="s">
        <v>74</v>
      </c>
      <c r="AC657" t="s">
        <v>74</v>
      </c>
      <c r="AD657" t="s">
        <v>74</v>
      </c>
      <c r="AE657" t="s">
        <v>74</v>
      </c>
      <c r="AF657" t="s">
        <v>74</v>
      </c>
      <c r="AG657">
        <v>23</v>
      </c>
      <c r="AH657">
        <v>21</v>
      </c>
      <c r="AI657">
        <v>24</v>
      </c>
      <c r="AJ657">
        <v>0</v>
      </c>
      <c r="AK657">
        <v>2</v>
      </c>
      <c r="AL657" t="s">
        <v>213</v>
      </c>
      <c r="AM657" t="s">
        <v>5925</v>
      </c>
      <c r="AN657" t="s">
        <v>5926</v>
      </c>
      <c r="AO657" t="s">
        <v>5927</v>
      </c>
      <c r="AP657" t="s">
        <v>74</v>
      </c>
      <c r="AQ657" t="s">
        <v>74</v>
      </c>
      <c r="AR657" t="s">
        <v>7848</v>
      </c>
      <c r="AS657" t="s">
        <v>74</v>
      </c>
      <c r="AT657" t="s">
        <v>74</v>
      </c>
      <c r="AU657">
        <v>2004</v>
      </c>
      <c r="AV657">
        <v>34</v>
      </c>
      <c r="AW657">
        <v>8</v>
      </c>
      <c r="AX657" t="s">
        <v>74</v>
      </c>
      <c r="AY657" t="s">
        <v>74</v>
      </c>
      <c r="AZ657" t="s">
        <v>74</v>
      </c>
      <c r="BA657" t="s">
        <v>74</v>
      </c>
      <c r="BB657">
        <v>1801</v>
      </c>
      <c r="BC657">
        <v>1805</v>
      </c>
      <c r="BD657" t="s">
        <v>74</v>
      </c>
      <c r="BE657" t="s">
        <v>9499</v>
      </c>
      <c r="BF657" t="str">
        <f>HYPERLINK("http://dx.doi.org/10.1016/j.asr.2003.07.063","http://dx.doi.org/10.1016/j.asr.2003.07.063")</f>
        <v>http://dx.doi.org/10.1016/j.asr.2003.07.063</v>
      </c>
      <c r="BG657" t="s">
        <v>74</v>
      </c>
      <c r="BH657" t="s">
        <v>74</v>
      </c>
      <c r="BI657">
        <v>5</v>
      </c>
      <c r="BJ657" t="s">
        <v>7850</v>
      </c>
      <c r="BK657" t="s">
        <v>1116</v>
      </c>
      <c r="BL657" t="s">
        <v>7851</v>
      </c>
      <c r="BM657" t="s">
        <v>9476</v>
      </c>
      <c r="BN657" t="s">
        <v>74</v>
      </c>
      <c r="BO657" t="s">
        <v>74</v>
      </c>
      <c r="BP657" t="s">
        <v>74</v>
      </c>
      <c r="BQ657" t="s">
        <v>74</v>
      </c>
      <c r="BR657" t="s">
        <v>99</v>
      </c>
      <c r="BS657" t="s">
        <v>9500</v>
      </c>
      <c r="BT657" t="str">
        <f>HYPERLINK("https%3A%2F%2Fwww.webofscience.com%2Fwos%2Fwoscc%2Ffull-record%2FWOS:000225594400024","View Full Record in Web of Science")</f>
        <v>View Full Record in Web of Science</v>
      </c>
    </row>
    <row r="658" spans="1:72" x14ac:dyDescent="0.15">
      <c r="A658" t="s">
        <v>497</v>
      </c>
      <c r="B658" t="s">
        <v>9501</v>
      </c>
      <c r="C658" t="s">
        <v>74</v>
      </c>
      <c r="D658" t="s">
        <v>9466</v>
      </c>
      <c r="E658" t="s">
        <v>74</v>
      </c>
      <c r="F658" t="s">
        <v>9501</v>
      </c>
      <c r="G658" t="s">
        <v>74</v>
      </c>
      <c r="H658" t="s">
        <v>74</v>
      </c>
      <c r="I658" t="s">
        <v>9502</v>
      </c>
      <c r="J658" t="s">
        <v>9468</v>
      </c>
      <c r="K658" t="s">
        <v>7834</v>
      </c>
      <c r="L658" t="s">
        <v>74</v>
      </c>
      <c r="M658" t="s">
        <v>77</v>
      </c>
      <c r="N658" t="s">
        <v>311</v>
      </c>
      <c r="O658" t="s">
        <v>5916</v>
      </c>
      <c r="P658" t="s">
        <v>5917</v>
      </c>
      <c r="Q658" t="s">
        <v>5918</v>
      </c>
      <c r="R658" t="s">
        <v>74</v>
      </c>
      <c r="S658" t="s">
        <v>74</v>
      </c>
      <c r="T658" t="s">
        <v>9503</v>
      </c>
      <c r="U658" t="s">
        <v>9504</v>
      </c>
      <c r="V658" t="s">
        <v>9505</v>
      </c>
      <c r="W658" t="s">
        <v>9506</v>
      </c>
      <c r="X658" t="s">
        <v>1912</v>
      </c>
      <c r="Y658" t="s">
        <v>9507</v>
      </c>
      <c r="Z658" t="s">
        <v>9498</v>
      </c>
      <c r="AA658" t="s">
        <v>9474</v>
      </c>
      <c r="AB658" t="s">
        <v>74</v>
      </c>
      <c r="AC658" t="s">
        <v>74</v>
      </c>
      <c r="AD658" t="s">
        <v>74</v>
      </c>
      <c r="AE658" t="s">
        <v>74</v>
      </c>
      <c r="AF658" t="s">
        <v>74</v>
      </c>
      <c r="AG658">
        <v>12</v>
      </c>
      <c r="AH658">
        <v>9</v>
      </c>
      <c r="AI658">
        <v>10</v>
      </c>
      <c r="AJ658">
        <v>0</v>
      </c>
      <c r="AK658">
        <v>2</v>
      </c>
      <c r="AL658" t="s">
        <v>213</v>
      </c>
      <c r="AM658" t="s">
        <v>5925</v>
      </c>
      <c r="AN658" t="s">
        <v>5926</v>
      </c>
      <c r="AO658" t="s">
        <v>5927</v>
      </c>
      <c r="AP658" t="s">
        <v>74</v>
      </c>
      <c r="AQ658" t="s">
        <v>74</v>
      </c>
      <c r="AR658" t="s">
        <v>7848</v>
      </c>
      <c r="AS658" t="s">
        <v>74</v>
      </c>
      <c r="AT658" t="s">
        <v>74</v>
      </c>
      <c r="AU658">
        <v>2004</v>
      </c>
      <c r="AV658">
        <v>34</v>
      </c>
      <c r="AW658">
        <v>8</v>
      </c>
      <c r="AX658" t="s">
        <v>74</v>
      </c>
      <c r="AY658" t="s">
        <v>74</v>
      </c>
      <c r="AZ658" t="s">
        <v>74</v>
      </c>
      <c r="BA658" t="s">
        <v>74</v>
      </c>
      <c r="BB658">
        <v>1824</v>
      </c>
      <c r="BC658">
        <v>1829</v>
      </c>
      <c r="BD658" t="s">
        <v>74</v>
      </c>
      <c r="BE658" t="s">
        <v>9508</v>
      </c>
      <c r="BF658" t="str">
        <f>HYPERLINK("http://dx.doi.org/10.1016/j.asr.2003.06.034","http://dx.doi.org/10.1016/j.asr.2003.06.034")</f>
        <v>http://dx.doi.org/10.1016/j.asr.2003.06.034</v>
      </c>
      <c r="BG658" t="s">
        <v>74</v>
      </c>
      <c r="BH658" t="s">
        <v>74</v>
      </c>
      <c r="BI658">
        <v>6</v>
      </c>
      <c r="BJ658" t="s">
        <v>7850</v>
      </c>
      <c r="BK658" t="s">
        <v>1116</v>
      </c>
      <c r="BL658" t="s">
        <v>7851</v>
      </c>
      <c r="BM658" t="s">
        <v>9476</v>
      </c>
      <c r="BN658" t="s">
        <v>74</v>
      </c>
      <c r="BO658" t="s">
        <v>74</v>
      </c>
      <c r="BP658" t="s">
        <v>74</v>
      </c>
      <c r="BQ658" t="s">
        <v>74</v>
      </c>
      <c r="BR658" t="s">
        <v>99</v>
      </c>
      <c r="BS658" t="s">
        <v>9509</v>
      </c>
      <c r="BT658" t="str">
        <f>HYPERLINK("https%3A%2F%2Fwww.webofscience.com%2Fwos%2Fwoscc%2Ffull-record%2FWOS:000225594400029","View Full Record in Web of Science")</f>
        <v>View Full Record in Web of Science</v>
      </c>
    </row>
    <row r="659" spans="1:72" x14ac:dyDescent="0.15">
      <c r="A659" t="s">
        <v>72</v>
      </c>
      <c r="B659" t="s">
        <v>9510</v>
      </c>
      <c r="C659" t="s">
        <v>74</v>
      </c>
      <c r="D659" t="s">
        <v>74</v>
      </c>
      <c r="E659" t="s">
        <v>74</v>
      </c>
      <c r="F659" t="s">
        <v>9510</v>
      </c>
      <c r="G659" t="s">
        <v>74</v>
      </c>
      <c r="H659" t="s">
        <v>74</v>
      </c>
      <c r="I659" t="s">
        <v>9511</v>
      </c>
      <c r="J659" t="s">
        <v>76</v>
      </c>
      <c r="K659" t="s">
        <v>74</v>
      </c>
      <c r="L659" t="s">
        <v>74</v>
      </c>
      <c r="M659" t="s">
        <v>77</v>
      </c>
      <c r="N659" t="s">
        <v>78</v>
      </c>
      <c r="O659" t="s">
        <v>74</v>
      </c>
      <c r="P659" t="s">
        <v>74</v>
      </c>
      <c r="Q659" t="s">
        <v>74</v>
      </c>
      <c r="R659" t="s">
        <v>74</v>
      </c>
      <c r="S659" t="s">
        <v>74</v>
      </c>
      <c r="T659" t="s">
        <v>74</v>
      </c>
      <c r="U659" t="s">
        <v>9512</v>
      </c>
      <c r="V659" t="s">
        <v>9513</v>
      </c>
      <c r="W659" t="s">
        <v>9514</v>
      </c>
      <c r="X659" t="s">
        <v>9515</v>
      </c>
      <c r="Y659" t="s">
        <v>9516</v>
      </c>
      <c r="Z659" t="s">
        <v>9517</v>
      </c>
      <c r="AA659" t="s">
        <v>74</v>
      </c>
      <c r="AB659" t="s">
        <v>74</v>
      </c>
      <c r="AC659" t="s">
        <v>74</v>
      </c>
      <c r="AD659" t="s">
        <v>74</v>
      </c>
      <c r="AE659" t="s">
        <v>74</v>
      </c>
      <c r="AF659" t="s">
        <v>74</v>
      </c>
      <c r="AG659">
        <v>28</v>
      </c>
      <c r="AH659">
        <v>23</v>
      </c>
      <c r="AI659">
        <v>27</v>
      </c>
      <c r="AJ659">
        <v>1</v>
      </c>
      <c r="AK659">
        <v>8</v>
      </c>
      <c r="AL659" t="s">
        <v>123</v>
      </c>
      <c r="AM659" t="s">
        <v>87</v>
      </c>
      <c r="AN659" t="s">
        <v>124</v>
      </c>
      <c r="AO659" t="s">
        <v>89</v>
      </c>
      <c r="AP659" t="s">
        <v>74</v>
      </c>
      <c r="AQ659" t="s">
        <v>74</v>
      </c>
      <c r="AR659" t="s">
        <v>91</v>
      </c>
      <c r="AS659" t="s">
        <v>92</v>
      </c>
      <c r="AT659" t="s">
        <v>4117</v>
      </c>
      <c r="AU659">
        <v>2004</v>
      </c>
      <c r="AV659">
        <v>27</v>
      </c>
      <c r="AW659">
        <v>2</v>
      </c>
      <c r="AX659" t="s">
        <v>74</v>
      </c>
      <c r="AY659" t="s">
        <v>74</v>
      </c>
      <c r="AZ659" t="s">
        <v>74</v>
      </c>
      <c r="BA659" t="s">
        <v>74</v>
      </c>
      <c r="BB659">
        <v>59</v>
      </c>
      <c r="BC659">
        <v>65</v>
      </c>
      <c r="BD659" t="s">
        <v>74</v>
      </c>
      <c r="BE659" t="s">
        <v>9518</v>
      </c>
      <c r="BF659" t="str">
        <f>HYPERLINK("http://dx.doi.org/10.1007/s00300-003-0559-z","http://dx.doi.org/10.1007/s00300-003-0559-z")</f>
        <v>http://dx.doi.org/10.1007/s00300-003-0559-z</v>
      </c>
      <c r="BG659" t="s">
        <v>74</v>
      </c>
      <c r="BH659" t="s">
        <v>74</v>
      </c>
      <c r="BI659">
        <v>7</v>
      </c>
      <c r="BJ659" t="s">
        <v>95</v>
      </c>
      <c r="BK659" t="s">
        <v>96</v>
      </c>
      <c r="BL659" t="s">
        <v>97</v>
      </c>
      <c r="BM659" t="s">
        <v>9519</v>
      </c>
      <c r="BN659" t="s">
        <v>74</v>
      </c>
      <c r="BO659" t="s">
        <v>479</v>
      </c>
      <c r="BP659" t="s">
        <v>74</v>
      </c>
      <c r="BQ659" t="s">
        <v>74</v>
      </c>
      <c r="BR659" t="s">
        <v>99</v>
      </c>
      <c r="BS659" t="s">
        <v>9520</v>
      </c>
      <c r="BT659" t="str">
        <f>HYPERLINK("https%3A%2F%2Fwww.webofscience.com%2Fwos%2Fwoscc%2Ffull-record%2FWOS:000187918600001","View Full Record in Web of Science")</f>
        <v>View Full Record in Web of Science</v>
      </c>
    </row>
    <row r="660" spans="1:72" x14ac:dyDescent="0.15">
      <c r="A660" t="s">
        <v>72</v>
      </c>
      <c r="B660" t="s">
        <v>9521</v>
      </c>
      <c r="C660" t="s">
        <v>74</v>
      </c>
      <c r="D660" t="s">
        <v>74</v>
      </c>
      <c r="E660" t="s">
        <v>74</v>
      </c>
      <c r="F660" t="s">
        <v>9521</v>
      </c>
      <c r="G660" t="s">
        <v>74</v>
      </c>
      <c r="H660" t="s">
        <v>74</v>
      </c>
      <c r="I660" t="s">
        <v>9522</v>
      </c>
      <c r="J660" t="s">
        <v>76</v>
      </c>
      <c r="K660" t="s">
        <v>74</v>
      </c>
      <c r="L660" t="s">
        <v>74</v>
      </c>
      <c r="M660" t="s">
        <v>77</v>
      </c>
      <c r="N660" t="s">
        <v>78</v>
      </c>
      <c r="O660" t="s">
        <v>74</v>
      </c>
      <c r="P660" t="s">
        <v>74</v>
      </c>
      <c r="Q660" t="s">
        <v>74</v>
      </c>
      <c r="R660" t="s">
        <v>74</v>
      </c>
      <c r="S660" t="s">
        <v>74</v>
      </c>
      <c r="T660" t="s">
        <v>74</v>
      </c>
      <c r="U660" t="s">
        <v>9523</v>
      </c>
      <c r="V660" t="s">
        <v>9524</v>
      </c>
      <c r="W660" t="s">
        <v>9525</v>
      </c>
      <c r="X660" t="s">
        <v>9526</v>
      </c>
      <c r="Y660" t="s">
        <v>9527</v>
      </c>
      <c r="Z660" t="s">
        <v>9528</v>
      </c>
      <c r="AA660" t="s">
        <v>9529</v>
      </c>
      <c r="AB660" t="s">
        <v>74</v>
      </c>
      <c r="AC660" t="s">
        <v>74</v>
      </c>
      <c r="AD660" t="s">
        <v>74</v>
      </c>
      <c r="AE660" t="s">
        <v>74</v>
      </c>
      <c r="AF660" t="s">
        <v>74</v>
      </c>
      <c r="AG660">
        <v>58</v>
      </c>
      <c r="AH660">
        <v>88</v>
      </c>
      <c r="AI660">
        <v>93</v>
      </c>
      <c r="AJ660">
        <v>0</v>
      </c>
      <c r="AK660">
        <v>27</v>
      </c>
      <c r="AL660" t="s">
        <v>86</v>
      </c>
      <c r="AM660" t="s">
        <v>87</v>
      </c>
      <c r="AN660" t="s">
        <v>88</v>
      </c>
      <c r="AO660" t="s">
        <v>89</v>
      </c>
      <c r="AP660" t="s">
        <v>90</v>
      </c>
      <c r="AQ660" t="s">
        <v>74</v>
      </c>
      <c r="AR660" t="s">
        <v>91</v>
      </c>
      <c r="AS660" t="s">
        <v>92</v>
      </c>
      <c r="AT660" t="s">
        <v>4117</v>
      </c>
      <c r="AU660">
        <v>2004</v>
      </c>
      <c r="AV660">
        <v>27</v>
      </c>
      <c r="AW660">
        <v>2</v>
      </c>
      <c r="AX660" t="s">
        <v>74</v>
      </c>
      <c r="AY660" t="s">
        <v>74</v>
      </c>
      <c r="AZ660" t="s">
        <v>74</v>
      </c>
      <c r="BA660" t="s">
        <v>74</v>
      </c>
      <c r="BB660">
        <v>75</v>
      </c>
      <c r="BC660">
        <v>82</v>
      </c>
      <c r="BD660" t="s">
        <v>74</v>
      </c>
      <c r="BE660" t="s">
        <v>9530</v>
      </c>
      <c r="BF660" t="str">
        <f>HYPERLINK("http://dx.doi.org/10.1007/s00300-003-0567-z","http://dx.doi.org/10.1007/s00300-003-0567-z")</f>
        <v>http://dx.doi.org/10.1007/s00300-003-0567-z</v>
      </c>
      <c r="BG660" t="s">
        <v>74</v>
      </c>
      <c r="BH660" t="s">
        <v>74</v>
      </c>
      <c r="BI660">
        <v>8</v>
      </c>
      <c r="BJ660" t="s">
        <v>95</v>
      </c>
      <c r="BK660" t="s">
        <v>96</v>
      </c>
      <c r="BL660" t="s">
        <v>97</v>
      </c>
      <c r="BM660" t="s">
        <v>9519</v>
      </c>
      <c r="BN660" t="s">
        <v>74</v>
      </c>
      <c r="BO660" t="s">
        <v>74</v>
      </c>
      <c r="BP660" t="s">
        <v>74</v>
      </c>
      <c r="BQ660" t="s">
        <v>74</v>
      </c>
      <c r="BR660" t="s">
        <v>99</v>
      </c>
      <c r="BS660" t="s">
        <v>9531</v>
      </c>
      <c r="BT660" t="str">
        <f>HYPERLINK("https%3A%2F%2Fwww.webofscience.com%2Fwos%2Fwoscc%2Ffull-record%2FWOS:000187918600003","View Full Record in Web of Science")</f>
        <v>View Full Record in Web of Science</v>
      </c>
    </row>
    <row r="661" spans="1:72" x14ac:dyDescent="0.15">
      <c r="A661" t="s">
        <v>72</v>
      </c>
      <c r="B661" t="s">
        <v>9532</v>
      </c>
      <c r="C661" t="s">
        <v>74</v>
      </c>
      <c r="D661" t="s">
        <v>74</v>
      </c>
      <c r="E661" t="s">
        <v>74</v>
      </c>
      <c r="F661" t="s">
        <v>9532</v>
      </c>
      <c r="G661" t="s">
        <v>74</v>
      </c>
      <c r="H661" t="s">
        <v>74</v>
      </c>
      <c r="I661" t="s">
        <v>9533</v>
      </c>
      <c r="J661" t="s">
        <v>76</v>
      </c>
      <c r="K661" t="s">
        <v>74</v>
      </c>
      <c r="L661" t="s">
        <v>74</v>
      </c>
      <c r="M661" t="s">
        <v>77</v>
      </c>
      <c r="N661" t="s">
        <v>78</v>
      </c>
      <c r="O661" t="s">
        <v>74</v>
      </c>
      <c r="P661" t="s">
        <v>74</v>
      </c>
      <c r="Q661" t="s">
        <v>74</v>
      </c>
      <c r="R661" t="s">
        <v>74</v>
      </c>
      <c r="S661" t="s">
        <v>74</v>
      </c>
      <c r="T661" t="s">
        <v>74</v>
      </c>
      <c r="U661" t="s">
        <v>9534</v>
      </c>
      <c r="V661" t="s">
        <v>9535</v>
      </c>
      <c r="W661" t="s">
        <v>3899</v>
      </c>
      <c r="X661" t="s">
        <v>1808</v>
      </c>
      <c r="Y661" t="s">
        <v>4244</v>
      </c>
      <c r="Z661" t="s">
        <v>5771</v>
      </c>
      <c r="AA661" t="s">
        <v>74</v>
      </c>
      <c r="AB661" t="s">
        <v>9536</v>
      </c>
      <c r="AC661" t="s">
        <v>74</v>
      </c>
      <c r="AD661" t="s">
        <v>74</v>
      </c>
      <c r="AE661" t="s">
        <v>74</v>
      </c>
      <c r="AF661" t="s">
        <v>74</v>
      </c>
      <c r="AG661">
        <v>18</v>
      </c>
      <c r="AH661">
        <v>19</v>
      </c>
      <c r="AI661">
        <v>21</v>
      </c>
      <c r="AJ661">
        <v>0</v>
      </c>
      <c r="AK661">
        <v>20</v>
      </c>
      <c r="AL661" t="s">
        <v>86</v>
      </c>
      <c r="AM661" t="s">
        <v>87</v>
      </c>
      <c r="AN661" t="s">
        <v>2007</v>
      </c>
      <c r="AO661" t="s">
        <v>89</v>
      </c>
      <c r="AP661" t="s">
        <v>90</v>
      </c>
      <c r="AQ661" t="s">
        <v>74</v>
      </c>
      <c r="AR661" t="s">
        <v>91</v>
      </c>
      <c r="AS661" t="s">
        <v>92</v>
      </c>
      <c r="AT661" t="s">
        <v>4117</v>
      </c>
      <c r="AU661">
        <v>2004</v>
      </c>
      <c r="AV661">
        <v>27</v>
      </c>
      <c r="AW661">
        <v>2</v>
      </c>
      <c r="AX661" t="s">
        <v>74</v>
      </c>
      <c r="AY661" t="s">
        <v>74</v>
      </c>
      <c r="AZ661" t="s">
        <v>74</v>
      </c>
      <c r="BA661" t="s">
        <v>74</v>
      </c>
      <c r="BB661">
        <v>83</v>
      </c>
      <c r="BC661">
        <v>91</v>
      </c>
      <c r="BD661" t="s">
        <v>74</v>
      </c>
      <c r="BE661" t="s">
        <v>9537</v>
      </c>
      <c r="BF661" t="str">
        <f>HYPERLINK("http://dx.doi.org/10.1007/s00300-003-0574-0","http://dx.doi.org/10.1007/s00300-003-0574-0")</f>
        <v>http://dx.doi.org/10.1007/s00300-003-0574-0</v>
      </c>
      <c r="BG661" t="s">
        <v>74</v>
      </c>
      <c r="BH661" t="s">
        <v>74</v>
      </c>
      <c r="BI661">
        <v>9</v>
      </c>
      <c r="BJ661" t="s">
        <v>95</v>
      </c>
      <c r="BK661" t="s">
        <v>96</v>
      </c>
      <c r="BL661" t="s">
        <v>97</v>
      </c>
      <c r="BM661" t="s">
        <v>9519</v>
      </c>
      <c r="BN661" t="s">
        <v>74</v>
      </c>
      <c r="BO661" t="s">
        <v>74</v>
      </c>
      <c r="BP661" t="s">
        <v>74</v>
      </c>
      <c r="BQ661" t="s">
        <v>74</v>
      </c>
      <c r="BR661" t="s">
        <v>99</v>
      </c>
      <c r="BS661" t="s">
        <v>9538</v>
      </c>
      <c r="BT661" t="str">
        <f>HYPERLINK("https%3A%2F%2Fwww.webofscience.com%2Fwos%2Fwoscc%2Ffull-record%2FWOS:000187918600004","View Full Record in Web of Science")</f>
        <v>View Full Record in Web of Science</v>
      </c>
    </row>
    <row r="662" spans="1:72" x14ac:dyDescent="0.15">
      <c r="A662" t="s">
        <v>72</v>
      </c>
      <c r="B662" t="s">
        <v>9539</v>
      </c>
      <c r="C662" t="s">
        <v>74</v>
      </c>
      <c r="D662" t="s">
        <v>74</v>
      </c>
      <c r="E662" t="s">
        <v>74</v>
      </c>
      <c r="F662" t="s">
        <v>9539</v>
      </c>
      <c r="G662" t="s">
        <v>74</v>
      </c>
      <c r="H662" t="s">
        <v>74</v>
      </c>
      <c r="I662" t="s">
        <v>9540</v>
      </c>
      <c r="J662" t="s">
        <v>76</v>
      </c>
      <c r="K662" t="s">
        <v>74</v>
      </c>
      <c r="L662" t="s">
        <v>74</v>
      </c>
      <c r="M662" t="s">
        <v>77</v>
      </c>
      <c r="N662" t="s">
        <v>78</v>
      </c>
      <c r="O662" t="s">
        <v>74</v>
      </c>
      <c r="P662" t="s">
        <v>74</v>
      </c>
      <c r="Q662" t="s">
        <v>74</v>
      </c>
      <c r="R662" t="s">
        <v>74</v>
      </c>
      <c r="S662" t="s">
        <v>74</v>
      </c>
      <c r="T662" t="s">
        <v>74</v>
      </c>
      <c r="U662" t="s">
        <v>9541</v>
      </c>
      <c r="V662" t="s">
        <v>9542</v>
      </c>
      <c r="W662" t="s">
        <v>106</v>
      </c>
      <c r="X662" t="s">
        <v>107</v>
      </c>
      <c r="Y662" t="s">
        <v>9543</v>
      </c>
      <c r="Z662" t="s">
        <v>9544</v>
      </c>
      <c r="AA662" t="s">
        <v>74</v>
      </c>
      <c r="AB662" t="s">
        <v>110</v>
      </c>
      <c r="AC662" t="s">
        <v>74</v>
      </c>
      <c r="AD662" t="s">
        <v>74</v>
      </c>
      <c r="AE662" t="s">
        <v>74</v>
      </c>
      <c r="AF662" t="s">
        <v>74</v>
      </c>
      <c r="AG662">
        <v>44</v>
      </c>
      <c r="AH662">
        <v>31</v>
      </c>
      <c r="AI662">
        <v>34</v>
      </c>
      <c r="AJ662">
        <v>0</v>
      </c>
      <c r="AK662">
        <v>14</v>
      </c>
      <c r="AL662" t="s">
        <v>123</v>
      </c>
      <c r="AM662" t="s">
        <v>87</v>
      </c>
      <c r="AN662" t="s">
        <v>124</v>
      </c>
      <c r="AO662" t="s">
        <v>89</v>
      </c>
      <c r="AP662" t="s">
        <v>74</v>
      </c>
      <c r="AQ662" t="s">
        <v>74</v>
      </c>
      <c r="AR662" t="s">
        <v>91</v>
      </c>
      <c r="AS662" t="s">
        <v>92</v>
      </c>
      <c r="AT662" t="s">
        <v>4117</v>
      </c>
      <c r="AU662">
        <v>2004</v>
      </c>
      <c r="AV662">
        <v>27</v>
      </c>
      <c r="AW662">
        <v>2</v>
      </c>
      <c r="AX662" t="s">
        <v>74</v>
      </c>
      <c r="AY662" t="s">
        <v>74</v>
      </c>
      <c r="AZ662" t="s">
        <v>74</v>
      </c>
      <c r="BA662" t="s">
        <v>74</v>
      </c>
      <c r="BB662">
        <v>92</v>
      </c>
      <c r="BC662">
        <v>98</v>
      </c>
      <c r="BD662" t="s">
        <v>74</v>
      </c>
      <c r="BE662" t="s">
        <v>9545</v>
      </c>
      <c r="BF662" t="str">
        <f>HYPERLINK("http://dx.doi.org/10.1007/s00300-003-0555-3","http://dx.doi.org/10.1007/s00300-003-0555-3")</f>
        <v>http://dx.doi.org/10.1007/s00300-003-0555-3</v>
      </c>
      <c r="BG662" t="s">
        <v>74</v>
      </c>
      <c r="BH662" t="s">
        <v>74</v>
      </c>
      <c r="BI662">
        <v>7</v>
      </c>
      <c r="BJ662" t="s">
        <v>95</v>
      </c>
      <c r="BK662" t="s">
        <v>96</v>
      </c>
      <c r="BL662" t="s">
        <v>97</v>
      </c>
      <c r="BM662" t="s">
        <v>9519</v>
      </c>
      <c r="BN662" t="s">
        <v>74</v>
      </c>
      <c r="BO662" t="s">
        <v>74</v>
      </c>
      <c r="BP662" t="s">
        <v>74</v>
      </c>
      <c r="BQ662" t="s">
        <v>74</v>
      </c>
      <c r="BR662" t="s">
        <v>99</v>
      </c>
      <c r="BS662" t="s">
        <v>9546</v>
      </c>
      <c r="BT662" t="str">
        <f>HYPERLINK("https%3A%2F%2Fwww.webofscience.com%2Fwos%2Fwoscc%2Ffull-record%2FWOS:000187918600005","View Full Record in Web of Science")</f>
        <v>View Full Record in Web of Science</v>
      </c>
    </row>
    <row r="663" spans="1:72" x14ac:dyDescent="0.15">
      <c r="A663" t="s">
        <v>72</v>
      </c>
      <c r="B663" t="s">
        <v>9547</v>
      </c>
      <c r="C663" t="s">
        <v>74</v>
      </c>
      <c r="D663" t="s">
        <v>74</v>
      </c>
      <c r="E663" t="s">
        <v>74</v>
      </c>
      <c r="F663" t="s">
        <v>9547</v>
      </c>
      <c r="G663" t="s">
        <v>74</v>
      </c>
      <c r="H663" t="s">
        <v>74</v>
      </c>
      <c r="I663" t="s">
        <v>9548</v>
      </c>
      <c r="J663" t="s">
        <v>76</v>
      </c>
      <c r="K663" t="s">
        <v>74</v>
      </c>
      <c r="L663" t="s">
        <v>74</v>
      </c>
      <c r="M663" t="s">
        <v>77</v>
      </c>
      <c r="N663" t="s">
        <v>78</v>
      </c>
      <c r="O663" t="s">
        <v>74</v>
      </c>
      <c r="P663" t="s">
        <v>74</v>
      </c>
      <c r="Q663" t="s">
        <v>74</v>
      </c>
      <c r="R663" t="s">
        <v>74</v>
      </c>
      <c r="S663" t="s">
        <v>74</v>
      </c>
      <c r="T663" t="s">
        <v>74</v>
      </c>
      <c r="U663" t="s">
        <v>9549</v>
      </c>
      <c r="V663" t="s">
        <v>9550</v>
      </c>
      <c r="W663" t="s">
        <v>9551</v>
      </c>
      <c r="X663" t="s">
        <v>9552</v>
      </c>
      <c r="Y663" t="s">
        <v>9553</v>
      </c>
      <c r="Z663" t="s">
        <v>9554</v>
      </c>
      <c r="AA663" t="s">
        <v>74</v>
      </c>
      <c r="AB663" t="s">
        <v>9555</v>
      </c>
      <c r="AC663" t="s">
        <v>74</v>
      </c>
      <c r="AD663" t="s">
        <v>74</v>
      </c>
      <c r="AE663" t="s">
        <v>74</v>
      </c>
      <c r="AF663" t="s">
        <v>74</v>
      </c>
      <c r="AG663">
        <v>34</v>
      </c>
      <c r="AH663">
        <v>12</v>
      </c>
      <c r="AI663">
        <v>12</v>
      </c>
      <c r="AJ663">
        <v>0</v>
      </c>
      <c r="AK663">
        <v>10</v>
      </c>
      <c r="AL663" t="s">
        <v>86</v>
      </c>
      <c r="AM663" t="s">
        <v>87</v>
      </c>
      <c r="AN663" t="s">
        <v>88</v>
      </c>
      <c r="AO663" t="s">
        <v>89</v>
      </c>
      <c r="AP663" t="s">
        <v>90</v>
      </c>
      <c r="AQ663" t="s">
        <v>74</v>
      </c>
      <c r="AR663" t="s">
        <v>91</v>
      </c>
      <c r="AS663" t="s">
        <v>92</v>
      </c>
      <c r="AT663" t="s">
        <v>4117</v>
      </c>
      <c r="AU663">
        <v>2004</v>
      </c>
      <c r="AV663">
        <v>27</v>
      </c>
      <c r="AW663">
        <v>2</v>
      </c>
      <c r="AX663" t="s">
        <v>74</v>
      </c>
      <c r="AY663" t="s">
        <v>74</v>
      </c>
      <c r="AZ663" t="s">
        <v>74</v>
      </c>
      <c r="BA663" t="s">
        <v>74</v>
      </c>
      <c r="BB663">
        <v>99</v>
      </c>
      <c r="BC663">
        <v>111</v>
      </c>
      <c r="BD663" t="s">
        <v>74</v>
      </c>
      <c r="BE663" t="s">
        <v>9556</v>
      </c>
      <c r="BF663" t="str">
        <f>HYPERLINK("http://dx.doi.org/10.1007/s00300-003-0569-x","http://dx.doi.org/10.1007/s00300-003-0569-x")</f>
        <v>http://dx.doi.org/10.1007/s00300-003-0569-x</v>
      </c>
      <c r="BG663" t="s">
        <v>74</v>
      </c>
      <c r="BH663" t="s">
        <v>74</v>
      </c>
      <c r="BI663">
        <v>13</v>
      </c>
      <c r="BJ663" t="s">
        <v>95</v>
      </c>
      <c r="BK663" t="s">
        <v>96</v>
      </c>
      <c r="BL663" t="s">
        <v>97</v>
      </c>
      <c r="BM663" t="s">
        <v>9519</v>
      </c>
      <c r="BN663" t="s">
        <v>74</v>
      </c>
      <c r="BO663" t="s">
        <v>74</v>
      </c>
      <c r="BP663" t="s">
        <v>74</v>
      </c>
      <c r="BQ663" t="s">
        <v>74</v>
      </c>
      <c r="BR663" t="s">
        <v>99</v>
      </c>
      <c r="BS663" t="s">
        <v>9557</v>
      </c>
      <c r="BT663" t="str">
        <f>HYPERLINK("https%3A%2F%2Fwww.webofscience.com%2Fwos%2Fwoscc%2Ffull-record%2FWOS:000187918600006","View Full Record in Web of Science")</f>
        <v>View Full Record in Web of Science</v>
      </c>
    </row>
    <row r="664" spans="1:72" x14ac:dyDescent="0.15">
      <c r="A664" t="s">
        <v>72</v>
      </c>
      <c r="B664" t="s">
        <v>9558</v>
      </c>
      <c r="C664" t="s">
        <v>74</v>
      </c>
      <c r="D664" t="s">
        <v>74</v>
      </c>
      <c r="E664" t="s">
        <v>74</v>
      </c>
      <c r="F664" t="s">
        <v>9558</v>
      </c>
      <c r="G664" t="s">
        <v>74</v>
      </c>
      <c r="H664" t="s">
        <v>74</v>
      </c>
      <c r="I664" t="s">
        <v>9559</v>
      </c>
      <c r="J664" t="s">
        <v>129</v>
      </c>
      <c r="K664" t="s">
        <v>74</v>
      </c>
      <c r="L664" t="s">
        <v>74</v>
      </c>
      <c r="M664" t="s">
        <v>77</v>
      </c>
      <c r="N664" t="s">
        <v>78</v>
      </c>
      <c r="O664" t="s">
        <v>74</v>
      </c>
      <c r="P664" t="s">
        <v>74</v>
      </c>
      <c r="Q664" t="s">
        <v>74</v>
      </c>
      <c r="R664" t="s">
        <v>74</v>
      </c>
      <c r="S664" t="s">
        <v>74</v>
      </c>
      <c r="T664" t="s">
        <v>74</v>
      </c>
      <c r="U664" t="s">
        <v>74</v>
      </c>
      <c r="V664" t="s">
        <v>9560</v>
      </c>
      <c r="W664" t="s">
        <v>9561</v>
      </c>
      <c r="X664" t="s">
        <v>9562</v>
      </c>
      <c r="Y664" t="s">
        <v>9563</v>
      </c>
      <c r="Z664" t="s">
        <v>74</v>
      </c>
      <c r="AA664" t="s">
        <v>74</v>
      </c>
      <c r="AB664" t="s">
        <v>74</v>
      </c>
      <c r="AC664" t="s">
        <v>74</v>
      </c>
      <c r="AD664" t="s">
        <v>74</v>
      </c>
      <c r="AE664" t="s">
        <v>74</v>
      </c>
      <c r="AF664" t="s">
        <v>74</v>
      </c>
      <c r="AG664">
        <v>29</v>
      </c>
      <c r="AH664">
        <v>4</v>
      </c>
      <c r="AI664">
        <v>5</v>
      </c>
      <c r="AJ664">
        <v>0</v>
      </c>
      <c r="AK664">
        <v>1</v>
      </c>
      <c r="AL664" t="s">
        <v>136</v>
      </c>
      <c r="AM664" t="s">
        <v>87</v>
      </c>
      <c r="AN664" t="s">
        <v>137</v>
      </c>
      <c r="AO664" t="s">
        <v>138</v>
      </c>
      <c r="AP664" t="s">
        <v>139</v>
      </c>
      <c r="AQ664" t="s">
        <v>74</v>
      </c>
      <c r="AR664" t="s">
        <v>140</v>
      </c>
      <c r="AS664" t="s">
        <v>141</v>
      </c>
      <c r="AT664" t="s">
        <v>4117</v>
      </c>
      <c r="AU664">
        <v>2004</v>
      </c>
      <c r="AV664">
        <v>40</v>
      </c>
      <c r="AW664">
        <v>212</v>
      </c>
      <c r="AX664" t="s">
        <v>74</v>
      </c>
      <c r="AY664" t="s">
        <v>74</v>
      </c>
      <c r="AZ664" t="s">
        <v>74</v>
      </c>
      <c r="BA664" t="s">
        <v>74</v>
      </c>
      <c r="BB664">
        <v>1</v>
      </c>
      <c r="BC664">
        <v>18</v>
      </c>
      <c r="BD664" t="s">
        <v>74</v>
      </c>
      <c r="BE664" t="s">
        <v>9564</v>
      </c>
      <c r="BF664" t="str">
        <f>HYPERLINK("http://dx.doi.org/10.1017/S003224740300139","http://dx.doi.org/10.1017/S003224740300139")</f>
        <v>http://dx.doi.org/10.1017/S003224740300139</v>
      </c>
      <c r="BG664" t="s">
        <v>74</v>
      </c>
      <c r="BH664" t="s">
        <v>74</v>
      </c>
      <c r="BI664">
        <v>18</v>
      </c>
      <c r="BJ664" t="s">
        <v>143</v>
      </c>
      <c r="BK664" t="s">
        <v>96</v>
      </c>
      <c r="BL664" t="s">
        <v>144</v>
      </c>
      <c r="BM664" t="s">
        <v>9565</v>
      </c>
      <c r="BN664" t="s">
        <v>74</v>
      </c>
      <c r="BO664" t="s">
        <v>74</v>
      </c>
      <c r="BP664" t="s">
        <v>74</v>
      </c>
      <c r="BQ664" t="s">
        <v>74</v>
      </c>
      <c r="BR664" t="s">
        <v>99</v>
      </c>
      <c r="BS664" t="s">
        <v>9566</v>
      </c>
      <c r="BT664" t="str">
        <f>HYPERLINK("https%3A%2F%2Fwww.webofscience.com%2Fwos%2Fwoscc%2Ffull-record%2FWOS:000226634600001","View Full Record in Web of Science")</f>
        <v>View Full Record in Web of Science</v>
      </c>
    </row>
    <row r="665" spans="1:72" x14ac:dyDescent="0.15">
      <c r="A665" t="s">
        <v>72</v>
      </c>
      <c r="B665" t="s">
        <v>9567</v>
      </c>
      <c r="C665" t="s">
        <v>74</v>
      </c>
      <c r="D665" t="s">
        <v>74</v>
      </c>
      <c r="E665" t="s">
        <v>74</v>
      </c>
      <c r="F665" t="s">
        <v>9567</v>
      </c>
      <c r="G665" t="s">
        <v>74</v>
      </c>
      <c r="H665" t="s">
        <v>74</v>
      </c>
      <c r="I665" t="s">
        <v>9568</v>
      </c>
      <c r="J665" t="s">
        <v>129</v>
      </c>
      <c r="K665" t="s">
        <v>74</v>
      </c>
      <c r="L665" t="s">
        <v>74</v>
      </c>
      <c r="M665" t="s">
        <v>77</v>
      </c>
      <c r="N665" t="s">
        <v>268</v>
      </c>
      <c r="O665" t="s">
        <v>74</v>
      </c>
      <c r="P665" t="s">
        <v>74</v>
      </c>
      <c r="Q665" t="s">
        <v>74</v>
      </c>
      <c r="R665" t="s">
        <v>74</v>
      </c>
      <c r="S665" t="s">
        <v>74</v>
      </c>
      <c r="T665" t="s">
        <v>74</v>
      </c>
      <c r="U665" t="s">
        <v>9569</v>
      </c>
      <c r="V665" t="s">
        <v>9570</v>
      </c>
      <c r="W665" t="s">
        <v>8425</v>
      </c>
      <c r="X665" t="s">
        <v>1760</v>
      </c>
      <c r="Y665" t="s">
        <v>9571</v>
      </c>
      <c r="Z665" t="s">
        <v>74</v>
      </c>
      <c r="AA665" t="s">
        <v>74</v>
      </c>
      <c r="AB665" t="s">
        <v>74</v>
      </c>
      <c r="AC665" t="s">
        <v>74</v>
      </c>
      <c r="AD665" t="s">
        <v>74</v>
      </c>
      <c r="AE665" t="s">
        <v>74</v>
      </c>
      <c r="AF665" t="s">
        <v>74</v>
      </c>
      <c r="AG665">
        <v>100</v>
      </c>
      <c r="AH665">
        <v>8</v>
      </c>
      <c r="AI665">
        <v>8</v>
      </c>
      <c r="AJ665">
        <v>0</v>
      </c>
      <c r="AK665">
        <v>2</v>
      </c>
      <c r="AL665" t="s">
        <v>136</v>
      </c>
      <c r="AM665" t="s">
        <v>87</v>
      </c>
      <c r="AN665" t="s">
        <v>163</v>
      </c>
      <c r="AO665" t="s">
        <v>138</v>
      </c>
      <c r="AP665" t="s">
        <v>74</v>
      </c>
      <c r="AQ665" t="s">
        <v>74</v>
      </c>
      <c r="AR665" t="s">
        <v>140</v>
      </c>
      <c r="AS665" t="s">
        <v>141</v>
      </c>
      <c r="AT665" t="s">
        <v>4117</v>
      </c>
      <c r="AU665">
        <v>2004</v>
      </c>
      <c r="AV665">
        <v>40</v>
      </c>
      <c r="AW665">
        <v>212</v>
      </c>
      <c r="AX665" t="s">
        <v>74</v>
      </c>
      <c r="AY665" t="s">
        <v>74</v>
      </c>
      <c r="AZ665" t="s">
        <v>74</v>
      </c>
      <c r="BA665" t="s">
        <v>74</v>
      </c>
      <c r="BB665">
        <v>19</v>
      </c>
      <c r="BC665">
        <v>30</v>
      </c>
      <c r="BD665" t="s">
        <v>74</v>
      </c>
      <c r="BE665" t="s">
        <v>9572</v>
      </c>
      <c r="BF665" t="str">
        <f>HYPERLINK("http://dx.doi.org/10.1017/S0032247403003140","http://dx.doi.org/10.1017/S0032247403003140")</f>
        <v>http://dx.doi.org/10.1017/S0032247403003140</v>
      </c>
      <c r="BG665" t="s">
        <v>74</v>
      </c>
      <c r="BH665" t="s">
        <v>74</v>
      </c>
      <c r="BI665">
        <v>12</v>
      </c>
      <c r="BJ665" t="s">
        <v>143</v>
      </c>
      <c r="BK665" t="s">
        <v>96</v>
      </c>
      <c r="BL665" t="s">
        <v>144</v>
      </c>
      <c r="BM665" t="s">
        <v>9565</v>
      </c>
      <c r="BN665" t="s">
        <v>74</v>
      </c>
      <c r="BO665" t="s">
        <v>74</v>
      </c>
      <c r="BP665" t="s">
        <v>74</v>
      </c>
      <c r="BQ665" t="s">
        <v>74</v>
      </c>
      <c r="BR665" t="s">
        <v>99</v>
      </c>
      <c r="BS665" t="s">
        <v>9573</v>
      </c>
      <c r="BT665" t="str">
        <f>HYPERLINK("https%3A%2F%2Fwww.webofscience.com%2Fwos%2Fwoscc%2Ffull-record%2FWOS:000226634600002","View Full Record in Web of Science")</f>
        <v>View Full Record in Web of Science</v>
      </c>
    </row>
    <row r="666" spans="1:72" x14ac:dyDescent="0.15">
      <c r="A666" t="s">
        <v>72</v>
      </c>
      <c r="B666" t="s">
        <v>9574</v>
      </c>
      <c r="C666" t="s">
        <v>74</v>
      </c>
      <c r="D666" t="s">
        <v>74</v>
      </c>
      <c r="E666" t="s">
        <v>74</v>
      </c>
      <c r="F666" t="s">
        <v>9574</v>
      </c>
      <c r="G666" t="s">
        <v>74</v>
      </c>
      <c r="H666" t="s">
        <v>74</v>
      </c>
      <c r="I666" t="s">
        <v>9575</v>
      </c>
      <c r="J666" t="s">
        <v>129</v>
      </c>
      <c r="K666" t="s">
        <v>74</v>
      </c>
      <c r="L666" t="s">
        <v>74</v>
      </c>
      <c r="M666" t="s">
        <v>77</v>
      </c>
      <c r="N666" t="s">
        <v>78</v>
      </c>
      <c r="O666" t="s">
        <v>74</v>
      </c>
      <c r="P666" t="s">
        <v>74</v>
      </c>
      <c r="Q666" t="s">
        <v>74</v>
      </c>
      <c r="R666" t="s">
        <v>74</v>
      </c>
      <c r="S666" t="s">
        <v>74</v>
      </c>
      <c r="T666" t="s">
        <v>74</v>
      </c>
      <c r="U666" t="s">
        <v>74</v>
      </c>
      <c r="V666" t="s">
        <v>9576</v>
      </c>
      <c r="W666" t="s">
        <v>9577</v>
      </c>
      <c r="X666" t="s">
        <v>74</v>
      </c>
      <c r="Y666" t="s">
        <v>9578</v>
      </c>
      <c r="Z666" t="s">
        <v>9579</v>
      </c>
      <c r="AA666" t="s">
        <v>74</v>
      </c>
      <c r="AB666" t="s">
        <v>74</v>
      </c>
      <c r="AC666" t="s">
        <v>74</v>
      </c>
      <c r="AD666" t="s">
        <v>74</v>
      </c>
      <c r="AE666" t="s">
        <v>74</v>
      </c>
      <c r="AF666" t="s">
        <v>74</v>
      </c>
      <c r="AG666">
        <v>34</v>
      </c>
      <c r="AH666">
        <v>10</v>
      </c>
      <c r="AI666">
        <v>11</v>
      </c>
      <c r="AJ666">
        <v>1</v>
      </c>
      <c r="AK666">
        <v>5</v>
      </c>
      <c r="AL666" t="s">
        <v>136</v>
      </c>
      <c r="AM666" t="s">
        <v>87</v>
      </c>
      <c r="AN666" t="s">
        <v>163</v>
      </c>
      <c r="AO666" t="s">
        <v>138</v>
      </c>
      <c r="AP666" t="s">
        <v>74</v>
      </c>
      <c r="AQ666" t="s">
        <v>74</v>
      </c>
      <c r="AR666" t="s">
        <v>140</v>
      </c>
      <c r="AS666" t="s">
        <v>141</v>
      </c>
      <c r="AT666" t="s">
        <v>4117</v>
      </c>
      <c r="AU666">
        <v>2004</v>
      </c>
      <c r="AV666">
        <v>40</v>
      </c>
      <c r="AW666">
        <v>212</v>
      </c>
      <c r="AX666" t="s">
        <v>74</v>
      </c>
      <c r="AY666" t="s">
        <v>74</v>
      </c>
      <c r="AZ666" t="s">
        <v>74</v>
      </c>
      <c r="BA666" t="s">
        <v>74</v>
      </c>
      <c r="BB666">
        <v>51</v>
      </c>
      <c r="BC666">
        <v>67</v>
      </c>
      <c r="BD666" t="s">
        <v>74</v>
      </c>
      <c r="BE666" t="s">
        <v>9580</v>
      </c>
      <c r="BF666" t="str">
        <f>HYPERLINK("http://dx.doi.org/10.1017/S0032247403003292","http://dx.doi.org/10.1017/S0032247403003292")</f>
        <v>http://dx.doi.org/10.1017/S0032247403003292</v>
      </c>
      <c r="BG666" t="s">
        <v>74</v>
      </c>
      <c r="BH666" t="s">
        <v>74</v>
      </c>
      <c r="BI666">
        <v>17</v>
      </c>
      <c r="BJ666" t="s">
        <v>143</v>
      </c>
      <c r="BK666" t="s">
        <v>96</v>
      </c>
      <c r="BL666" t="s">
        <v>144</v>
      </c>
      <c r="BM666" t="s">
        <v>9565</v>
      </c>
      <c r="BN666" t="s">
        <v>74</v>
      </c>
      <c r="BO666" t="s">
        <v>74</v>
      </c>
      <c r="BP666" t="s">
        <v>74</v>
      </c>
      <c r="BQ666" t="s">
        <v>74</v>
      </c>
      <c r="BR666" t="s">
        <v>99</v>
      </c>
      <c r="BS666" t="s">
        <v>9581</v>
      </c>
      <c r="BT666" t="str">
        <f>HYPERLINK("https%3A%2F%2Fwww.webofscience.com%2Fwos%2Fwoscc%2Ffull-record%2FWOS:000226634600005","View Full Record in Web of Science")</f>
        <v>View Full Record in Web of Science</v>
      </c>
    </row>
    <row r="667" spans="1:72" x14ac:dyDescent="0.15">
      <c r="A667" t="s">
        <v>72</v>
      </c>
      <c r="B667" t="s">
        <v>9582</v>
      </c>
      <c r="C667" t="s">
        <v>74</v>
      </c>
      <c r="D667" t="s">
        <v>74</v>
      </c>
      <c r="E667" t="s">
        <v>74</v>
      </c>
      <c r="F667" t="s">
        <v>9582</v>
      </c>
      <c r="G667" t="s">
        <v>74</v>
      </c>
      <c r="H667" t="s">
        <v>74</v>
      </c>
      <c r="I667" t="s">
        <v>9583</v>
      </c>
      <c r="J667" t="s">
        <v>129</v>
      </c>
      <c r="K667" t="s">
        <v>74</v>
      </c>
      <c r="L667" t="s">
        <v>74</v>
      </c>
      <c r="M667" t="s">
        <v>77</v>
      </c>
      <c r="N667" t="s">
        <v>822</v>
      </c>
      <c r="O667" t="s">
        <v>74</v>
      </c>
      <c r="P667" t="s">
        <v>74</v>
      </c>
      <c r="Q667" t="s">
        <v>74</v>
      </c>
      <c r="R667" t="s">
        <v>74</v>
      </c>
      <c r="S667" t="s">
        <v>74</v>
      </c>
      <c r="T667" t="s">
        <v>74</v>
      </c>
      <c r="U667" t="s">
        <v>74</v>
      </c>
      <c r="V667" t="s">
        <v>9584</v>
      </c>
      <c r="W667" t="s">
        <v>9585</v>
      </c>
      <c r="X667" t="s">
        <v>82</v>
      </c>
      <c r="Y667" t="s">
        <v>9586</v>
      </c>
      <c r="Z667" t="s">
        <v>74</v>
      </c>
      <c r="AA667" t="s">
        <v>74</v>
      </c>
      <c r="AB667" t="s">
        <v>74</v>
      </c>
      <c r="AC667" t="s">
        <v>74</v>
      </c>
      <c r="AD667" t="s">
        <v>74</v>
      </c>
      <c r="AE667" t="s">
        <v>74</v>
      </c>
      <c r="AF667" t="s">
        <v>74</v>
      </c>
      <c r="AG667">
        <v>2</v>
      </c>
      <c r="AH667">
        <v>1</v>
      </c>
      <c r="AI667">
        <v>1</v>
      </c>
      <c r="AJ667">
        <v>0</v>
      </c>
      <c r="AK667">
        <v>1</v>
      </c>
      <c r="AL667" t="s">
        <v>136</v>
      </c>
      <c r="AM667" t="s">
        <v>87</v>
      </c>
      <c r="AN667" t="s">
        <v>163</v>
      </c>
      <c r="AO667" t="s">
        <v>138</v>
      </c>
      <c r="AP667" t="s">
        <v>74</v>
      </c>
      <c r="AQ667" t="s">
        <v>74</v>
      </c>
      <c r="AR667" t="s">
        <v>140</v>
      </c>
      <c r="AS667" t="s">
        <v>141</v>
      </c>
      <c r="AT667" t="s">
        <v>4117</v>
      </c>
      <c r="AU667">
        <v>2004</v>
      </c>
      <c r="AV667">
        <v>40</v>
      </c>
      <c r="AW667">
        <v>212</v>
      </c>
      <c r="AX667" t="s">
        <v>74</v>
      </c>
      <c r="AY667" t="s">
        <v>74</v>
      </c>
      <c r="AZ667" t="s">
        <v>74</v>
      </c>
      <c r="BA667" t="s">
        <v>74</v>
      </c>
      <c r="BB667">
        <v>69</v>
      </c>
      <c r="BC667">
        <v>70</v>
      </c>
      <c r="BD667" t="s">
        <v>74</v>
      </c>
      <c r="BE667" t="s">
        <v>9587</v>
      </c>
      <c r="BF667" t="str">
        <f>HYPERLINK("http://dx.doi.org/10.1017/S0032247403003279","http://dx.doi.org/10.1017/S0032247403003279")</f>
        <v>http://dx.doi.org/10.1017/S0032247403003279</v>
      </c>
      <c r="BG667" t="s">
        <v>74</v>
      </c>
      <c r="BH667" t="s">
        <v>74</v>
      </c>
      <c r="BI667">
        <v>2</v>
      </c>
      <c r="BJ667" t="s">
        <v>143</v>
      </c>
      <c r="BK667" t="s">
        <v>96</v>
      </c>
      <c r="BL667" t="s">
        <v>144</v>
      </c>
      <c r="BM667" t="s">
        <v>9565</v>
      </c>
      <c r="BN667" t="s">
        <v>74</v>
      </c>
      <c r="BO667" t="s">
        <v>74</v>
      </c>
      <c r="BP667" t="s">
        <v>74</v>
      </c>
      <c r="BQ667" t="s">
        <v>74</v>
      </c>
      <c r="BR667" t="s">
        <v>99</v>
      </c>
      <c r="BS667" t="s">
        <v>9588</v>
      </c>
      <c r="BT667" t="str">
        <f>HYPERLINK("https%3A%2F%2Fwww.webofscience.com%2Fwos%2Fwoscc%2Ffull-record%2FWOS:000226634600006","View Full Record in Web of Science")</f>
        <v>View Full Record in Web of Science</v>
      </c>
    </row>
    <row r="668" spans="1:72" x14ac:dyDescent="0.15">
      <c r="A668" t="s">
        <v>72</v>
      </c>
      <c r="B668" t="s">
        <v>9589</v>
      </c>
      <c r="C668" t="s">
        <v>74</v>
      </c>
      <c r="D668" t="s">
        <v>74</v>
      </c>
      <c r="E668" t="s">
        <v>74</v>
      </c>
      <c r="F668" t="s">
        <v>9589</v>
      </c>
      <c r="G668" t="s">
        <v>74</v>
      </c>
      <c r="H668" t="s">
        <v>74</v>
      </c>
      <c r="I668" t="s">
        <v>9590</v>
      </c>
      <c r="J668" t="s">
        <v>9591</v>
      </c>
      <c r="K668" t="s">
        <v>74</v>
      </c>
      <c r="L668" t="s">
        <v>74</v>
      </c>
      <c r="M668" t="s">
        <v>77</v>
      </c>
      <c r="N668" t="s">
        <v>78</v>
      </c>
      <c r="O668" t="s">
        <v>74</v>
      </c>
      <c r="P668" t="s">
        <v>74</v>
      </c>
      <c r="Q668" t="s">
        <v>74</v>
      </c>
      <c r="R668" t="s">
        <v>74</v>
      </c>
      <c r="S668" t="s">
        <v>74</v>
      </c>
      <c r="T668" t="s">
        <v>74</v>
      </c>
      <c r="U668" t="s">
        <v>9592</v>
      </c>
      <c r="V668" t="s">
        <v>9593</v>
      </c>
      <c r="W668" t="s">
        <v>1032</v>
      </c>
      <c r="X668" t="s">
        <v>1033</v>
      </c>
      <c r="Y668" t="s">
        <v>8967</v>
      </c>
      <c r="Z668" t="s">
        <v>9594</v>
      </c>
      <c r="AA668" t="s">
        <v>9595</v>
      </c>
      <c r="AB668" t="s">
        <v>9596</v>
      </c>
      <c r="AC668" t="s">
        <v>74</v>
      </c>
      <c r="AD668" t="s">
        <v>74</v>
      </c>
      <c r="AE668" t="s">
        <v>74</v>
      </c>
      <c r="AF668" t="s">
        <v>74</v>
      </c>
      <c r="AG668">
        <v>25</v>
      </c>
      <c r="AH668">
        <v>1</v>
      </c>
      <c r="AI668">
        <v>1</v>
      </c>
      <c r="AJ668">
        <v>6</v>
      </c>
      <c r="AK668">
        <v>57</v>
      </c>
      <c r="AL668" t="s">
        <v>2642</v>
      </c>
      <c r="AM668" t="s">
        <v>2643</v>
      </c>
      <c r="AN668" t="s">
        <v>2644</v>
      </c>
      <c r="AO668" t="s">
        <v>9597</v>
      </c>
      <c r="AP668" t="s">
        <v>9598</v>
      </c>
      <c r="AQ668" t="s">
        <v>74</v>
      </c>
      <c r="AR668" t="s">
        <v>9599</v>
      </c>
      <c r="AS668" t="s">
        <v>9600</v>
      </c>
      <c r="AT668" t="s">
        <v>74</v>
      </c>
      <c r="AU668">
        <v>2004</v>
      </c>
      <c r="AV668">
        <v>23</v>
      </c>
      <c r="AW668">
        <v>1</v>
      </c>
      <c r="AX668" t="s">
        <v>74</v>
      </c>
      <c r="AY668" t="s">
        <v>74</v>
      </c>
      <c r="AZ668" t="s">
        <v>74</v>
      </c>
      <c r="BA668" t="s">
        <v>74</v>
      </c>
      <c r="BB668">
        <v>3</v>
      </c>
      <c r="BC668">
        <v>10</v>
      </c>
      <c r="BD668" t="s">
        <v>74</v>
      </c>
      <c r="BE668" t="s">
        <v>9601</v>
      </c>
      <c r="BF668" t="str">
        <f>HYPERLINK("http://dx.doi.org/10.1111/j.1751-8369.2004.tb00123.x","http://dx.doi.org/10.1111/j.1751-8369.2004.tb00123.x")</f>
        <v>http://dx.doi.org/10.1111/j.1751-8369.2004.tb00123.x</v>
      </c>
      <c r="BG668" t="s">
        <v>74</v>
      </c>
      <c r="BH668" t="s">
        <v>74</v>
      </c>
      <c r="BI668">
        <v>8</v>
      </c>
      <c r="BJ668" t="s">
        <v>9602</v>
      </c>
      <c r="BK668" t="s">
        <v>96</v>
      </c>
      <c r="BL668" t="s">
        <v>9603</v>
      </c>
      <c r="BM668" t="s">
        <v>9604</v>
      </c>
      <c r="BN668" t="s">
        <v>74</v>
      </c>
      <c r="BO668" t="s">
        <v>306</v>
      </c>
      <c r="BP668" t="s">
        <v>74</v>
      </c>
      <c r="BQ668" t="s">
        <v>74</v>
      </c>
      <c r="BR668" t="s">
        <v>99</v>
      </c>
      <c r="BS668" t="s">
        <v>9605</v>
      </c>
      <c r="BT668" t="str">
        <f>HYPERLINK("https%3A%2F%2Fwww.webofscience.com%2Fwos%2Fwoscc%2Ffull-record%2FWOS:000222104100002","View Full Record in Web of Science")</f>
        <v>View Full Record in Web of Science</v>
      </c>
    </row>
    <row r="669" spans="1:72" x14ac:dyDescent="0.15">
      <c r="A669" t="s">
        <v>72</v>
      </c>
      <c r="B669" t="s">
        <v>9606</v>
      </c>
      <c r="C669" t="s">
        <v>74</v>
      </c>
      <c r="D669" t="s">
        <v>74</v>
      </c>
      <c r="E669" t="s">
        <v>74</v>
      </c>
      <c r="F669" t="s">
        <v>9606</v>
      </c>
      <c r="G669" t="s">
        <v>74</v>
      </c>
      <c r="H669" t="s">
        <v>74</v>
      </c>
      <c r="I669" t="s">
        <v>9607</v>
      </c>
      <c r="J669" t="s">
        <v>9591</v>
      </c>
      <c r="K669" t="s">
        <v>74</v>
      </c>
      <c r="L669" t="s">
        <v>74</v>
      </c>
      <c r="M669" t="s">
        <v>77</v>
      </c>
      <c r="N669" t="s">
        <v>78</v>
      </c>
      <c r="O669" t="s">
        <v>74</v>
      </c>
      <c r="P669" t="s">
        <v>74</v>
      </c>
      <c r="Q669" t="s">
        <v>74</v>
      </c>
      <c r="R669" t="s">
        <v>74</v>
      </c>
      <c r="S669" t="s">
        <v>74</v>
      </c>
      <c r="T669" t="s">
        <v>74</v>
      </c>
      <c r="U669" t="s">
        <v>9608</v>
      </c>
      <c r="V669" t="s">
        <v>9609</v>
      </c>
      <c r="W669" t="s">
        <v>9610</v>
      </c>
      <c r="X669" t="s">
        <v>9611</v>
      </c>
      <c r="Y669" t="s">
        <v>9612</v>
      </c>
      <c r="Z669" t="s">
        <v>9613</v>
      </c>
      <c r="AA669" t="s">
        <v>9614</v>
      </c>
      <c r="AB669" t="s">
        <v>74</v>
      </c>
      <c r="AC669" t="s">
        <v>74</v>
      </c>
      <c r="AD669" t="s">
        <v>74</v>
      </c>
      <c r="AE669" t="s">
        <v>74</v>
      </c>
      <c r="AF669" t="s">
        <v>74</v>
      </c>
      <c r="AG669">
        <v>51</v>
      </c>
      <c r="AH669">
        <v>48</v>
      </c>
      <c r="AI669">
        <v>54</v>
      </c>
      <c r="AJ669">
        <v>0</v>
      </c>
      <c r="AK669">
        <v>18</v>
      </c>
      <c r="AL669" t="s">
        <v>9615</v>
      </c>
      <c r="AM669" t="s">
        <v>9616</v>
      </c>
      <c r="AN669" t="s">
        <v>9617</v>
      </c>
      <c r="AO669" t="s">
        <v>9597</v>
      </c>
      <c r="AP669" t="s">
        <v>9598</v>
      </c>
      <c r="AQ669" t="s">
        <v>74</v>
      </c>
      <c r="AR669" t="s">
        <v>9599</v>
      </c>
      <c r="AS669" t="s">
        <v>9600</v>
      </c>
      <c r="AT669" t="s">
        <v>74</v>
      </c>
      <c r="AU669">
        <v>2004</v>
      </c>
      <c r="AV669">
        <v>23</v>
      </c>
      <c r="AW669">
        <v>1</v>
      </c>
      <c r="AX669" t="s">
        <v>74</v>
      </c>
      <c r="AY669" t="s">
        <v>74</v>
      </c>
      <c r="AZ669" t="s">
        <v>74</v>
      </c>
      <c r="BA669" t="s">
        <v>74</v>
      </c>
      <c r="BB669">
        <v>43</v>
      </c>
      <c r="BC669">
        <v>50</v>
      </c>
      <c r="BD669" t="s">
        <v>74</v>
      </c>
      <c r="BE669" t="s">
        <v>9618</v>
      </c>
      <c r="BF669" t="str">
        <f>HYPERLINK("http://dx.doi.org/10.1111/j.1751-8369.2004.tb00128.x","http://dx.doi.org/10.1111/j.1751-8369.2004.tb00128.x")</f>
        <v>http://dx.doi.org/10.1111/j.1751-8369.2004.tb00128.x</v>
      </c>
      <c r="BG669" t="s">
        <v>74</v>
      </c>
      <c r="BH669" t="s">
        <v>74</v>
      </c>
      <c r="BI669">
        <v>8</v>
      </c>
      <c r="BJ669" t="s">
        <v>9602</v>
      </c>
      <c r="BK669" t="s">
        <v>96</v>
      </c>
      <c r="BL669" t="s">
        <v>9603</v>
      </c>
      <c r="BM669" t="s">
        <v>9604</v>
      </c>
      <c r="BN669" t="s">
        <v>74</v>
      </c>
      <c r="BO669" t="s">
        <v>156</v>
      </c>
      <c r="BP669" t="s">
        <v>74</v>
      </c>
      <c r="BQ669" t="s">
        <v>74</v>
      </c>
      <c r="BR669" t="s">
        <v>99</v>
      </c>
      <c r="BS669" t="s">
        <v>9619</v>
      </c>
      <c r="BT669" t="str">
        <f>HYPERLINK("https%3A%2F%2Fwww.webofscience.com%2Fwos%2Fwoscc%2Ffull-record%2FWOS:000222104100007","View Full Record in Web of Science")</f>
        <v>View Full Record in Web of Science</v>
      </c>
    </row>
    <row r="670" spans="1:72" x14ac:dyDescent="0.15">
      <c r="A670" t="s">
        <v>72</v>
      </c>
      <c r="B670" t="s">
        <v>9620</v>
      </c>
      <c r="C670" t="s">
        <v>74</v>
      </c>
      <c r="D670" t="s">
        <v>74</v>
      </c>
      <c r="E670" t="s">
        <v>74</v>
      </c>
      <c r="F670" t="s">
        <v>9620</v>
      </c>
      <c r="G670" t="s">
        <v>74</v>
      </c>
      <c r="H670" t="s">
        <v>74</v>
      </c>
      <c r="I670" t="s">
        <v>9621</v>
      </c>
      <c r="J670" t="s">
        <v>9591</v>
      </c>
      <c r="K670" t="s">
        <v>74</v>
      </c>
      <c r="L670" t="s">
        <v>74</v>
      </c>
      <c r="M670" t="s">
        <v>77</v>
      </c>
      <c r="N670" t="s">
        <v>78</v>
      </c>
      <c r="O670" t="s">
        <v>74</v>
      </c>
      <c r="P670" t="s">
        <v>74</v>
      </c>
      <c r="Q670" t="s">
        <v>74</v>
      </c>
      <c r="R670" t="s">
        <v>74</v>
      </c>
      <c r="S670" t="s">
        <v>74</v>
      </c>
      <c r="T670" t="s">
        <v>74</v>
      </c>
      <c r="U670" t="s">
        <v>9622</v>
      </c>
      <c r="V670" t="s">
        <v>9623</v>
      </c>
      <c r="W670" t="s">
        <v>9624</v>
      </c>
      <c r="X670" t="s">
        <v>7280</v>
      </c>
      <c r="Y670" t="s">
        <v>9625</v>
      </c>
      <c r="Z670" t="s">
        <v>8929</v>
      </c>
      <c r="AA670" t="s">
        <v>74</v>
      </c>
      <c r="AB670" t="s">
        <v>9626</v>
      </c>
      <c r="AC670" t="s">
        <v>74</v>
      </c>
      <c r="AD670" t="s">
        <v>74</v>
      </c>
      <c r="AE670" t="s">
        <v>74</v>
      </c>
      <c r="AF670" t="s">
        <v>74</v>
      </c>
      <c r="AG670">
        <v>42</v>
      </c>
      <c r="AH670">
        <v>3</v>
      </c>
      <c r="AI670">
        <v>5</v>
      </c>
      <c r="AJ670">
        <v>0</v>
      </c>
      <c r="AK670">
        <v>0</v>
      </c>
      <c r="AL670" t="s">
        <v>2642</v>
      </c>
      <c r="AM670" t="s">
        <v>2643</v>
      </c>
      <c r="AN670" t="s">
        <v>2644</v>
      </c>
      <c r="AO670" t="s">
        <v>9597</v>
      </c>
      <c r="AP670" t="s">
        <v>9598</v>
      </c>
      <c r="AQ670" t="s">
        <v>74</v>
      </c>
      <c r="AR670" t="s">
        <v>9599</v>
      </c>
      <c r="AS670" t="s">
        <v>9600</v>
      </c>
      <c r="AT670" t="s">
        <v>74</v>
      </c>
      <c r="AU670">
        <v>2004</v>
      </c>
      <c r="AV670">
        <v>23</v>
      </c>
      <c r="AW670">
        <v>1</v>
      </c>
      <c r="AX670" t="s">
        <v>74</v>
      </c>
      <c r="AY670" t="s">
        <v>74</v>
      </c>
      <c r="AZ670" t="s">
        <v>74</v>
      </c>
      <c r="BA670" t="s">
        <v>74</v>
      </c>
      <c r="BB670">
        <v>67</v>
      </c>
      <c r="BC670">
        <v>77</v>
      </c>
      <c r="BD670" t="s">
        <v>74</v>
      </c>
      <c r="BE670" t="s">
        <v>9627</v>
      </c>
      <c r="BF670" t="str">
        <f>HYPERLINK("http://dx.doi.org/10.1111/j.1751-8369.2004.tb00130.x","http://dx.doi.org/10.1111/j.1751-8369.2004.tb00130.x")</f>
        <v>http://dx.doi.org/10.1111/j.1751-8369.2004.tb00130.x</v>
      </c>
      <c r="BG670" t="s">
        <v>74</v>
      </c>
      <c r="BH670" t="s">
        <v>74</v>
      </c>
      <c r="BI670">
        <v>11</v>
      </c>
      <c r="BJ670" t="s">
        <v>9602</v>
      </c>
      <c r="BK670" t="s">
        <v>96</v>
      </c>
      <c r="BL670" t="s">
        <v>9603</v>
      </c>
      <c r="BM670" t="s">
        <v>9604</v>
      </c>
      <c r="BN670" t="s">
        <v>74</v>
      </c>
      <c r="BO670" t="s">
        <v>74</v>
      </c>
      <c r="BP670" t="s">
        <v>74</v>
      </c>
      <c r="BQ670" t="s">
        <v>74</v>
      </c>
      <c r="BR670" t="s">
        <v>99</v>
      </c>
      <c r="BS670" t="s">
        <v>9628</v>
      </c>
      <c r="BT670" t="str">
        <f>HYPERLINK("https%3A%2F%2Fwww.webofscience.com%2Fwos%2Fwoscc%2Ffull-record%2FWOS:000222104100009","View Full Record in Web of Science")</f>
        <v>View Full Record in Web of Science</v>
      </c>
    </row>
    <row r="671" spans="1:72" x14ac:dyDescent="0.15">
      <c r="A671" t="s">
        <v>72</v>
      </c>
      <c r="B671" t="s">
        <v>9629</v>
      </c>
      <c r="C671" t="s">
        <v>74</v>
      </c>
      <c r="D671" t="s">
        <v>74</v>
      </c>
      <c r="E671" t="s">
        <v>74</v>
      </c>
      <c r="F671" t="s">
        <v>9629</v>
      </c>
      <c r="G671" t="s">
        <v>74</v>
      </c>
      <c r="H671" t="s">
        <v>74</v>
      </c>
      <c r="I671" t="s">
        <v>9630</v>
      </c>
      <c r="J671" t="s">
        <v>9591</v>
      </c>
      <c r="K671" t="s">
        <v>74</v>
      </c>
      <c r="L671" t="s">
        <v>74</v>
      </c>
      <c r="M671" t="s">
        <v>77</v>
      </c>
      <c r="N671" t="s">
        <v>78</v>
      </c>
      <c r="O671" t="s">
        <v>74</v>
      </c>
      <c r="P671" t="s">
        <v>74</v>
      </c>
      <c r="Q671" t="s">
        <v>74</v>
      </c>
      <c r="R671" t="s">
        <v>74</v>
      </c>
      <c r="S671" t="s">
        <v>74</v>
      </c>
      <c r="T671" t="s">
        <v>74</v>
      </c>
      <c r="U671" t="s">
        <v>9631</v>
      </c>
      <c r="V671" t="s">
        <v>9632</v>
      </c>
      <c r="W671" t="s">
        <v>9633</v>
      </c>
      <c r="X671" t="s">
        <v>9634</v>
      </c>
      <c r="Y671" t="s">
        <v>9635</v>
      </c>
      <c r="Z671" t="s">
        <v>9636</v>
      </c>
      <c r="AA671" t="s">
        <v>74</v>
      </c>
      <c r="AB671" t="s">
        <v>9637</v>
      </c>
      <c r="AC671" t="s">
        <v>74</v>
      </c>
      <c r="AD671" t="s">
        <v>74</v>
      </c>
      <c r="AE671" t="s">
        <v>74</v>
      </c>
      <c r="AF671" t="s">
        <v>74</v>
      </c>
      <c r="AG671">
        <v>35</v>
      </c>
      <c r="AH671">
        <v>24</v>
      </c>
      <c r="AI671">
        <v>25</v>
      </c>
      <c r="AJ671">
        <v>1</v>
      </c>
      <c r="AK671">
        <v>10</v>
      </c>
      <c r="AL671" t="s">
        <v>2642</v>
      </c>
      <c r="AM671" t="s">
        <v>2643</v>
      </c>
      <c r="AN671" t="s">
        <v>2644</v>
      </c>
      <c r="AO671" t="s">
        <v>9597</v>
      </c>
      <c r="AP671" t="s">
        <v>9598</v>
      </c>
      <c r="AQ671" t="s">
        <v>74</v>
      </c>
      <c r="AR671" t="s">
        <v>9599</v>
      </c>
      <c r="AS671" t="s">
        <v>9600</v>
      </c>
      <c r="AT671" t="s">
        <v>74</v>
      </c>
      <c r="AU671">
        <v>2004</v>
      </c>
      <c r="AV671">
        <v>23</v>
      </c>
      <c r="AW671">
        <v>2</v>
      </c>
      <c r="AX671" t="s">
        <v>74</v>
      </c>
      <c r="AY671" t="s">
        <v>74</v>
      </c>
      <c r="AZ671" t="s">
        <v>74</v>
      </c>
      <c r="BA671" t="s">
        <v>74</v>
      </c>
      <c r="BB671">
        <v>141</v>
      </c>
      <c r="BC671">
        <v>146</v>
      </c>
      <c r="BD671" t="s">
        <v>74</v>
      </c>
      <c r="BE671" t="s">
        <v>9638</v>
      </c>
      <c r="BF671" t="str">
        <f>HYPERLINK("http://dx.doi.org/10.3402/polar.v23i2.6275","http://dx.doi.org/10.3402/polar.v23i2.6275")</f>
        <v>http://dx.doi.org/10.3402/polar.v23i2.6275</v>
      </c>
      <c r="BG671" t="s">
        <v>74</v>
      </c>
      <c r="BH671" t="s">
        <v>74</v>
      </c>
      <c r="BI671">
        <v>6</v>
      </c>
      <c r="BJ671" t="s">
        <v>9602</v>
      </c>
      <c r="BK671" t="s">
        <v>96</v>
      </c>
      <c r="BL671" t="s">
        <v>9603</v>
      </c>
      <c r="BM671" t="s">
        <v>9639</v>
      </c>
      <c r="BN671" t="s">
        <v>74</v>
      </c>
      <c r="BO671" t="s">
        <v>541</v>
      </c>
      <c r="BP671" t="s">
        <v>74</v>
      </c>
      <c r="BQ671" t="s">
        <v>74</v>
      </c>
      <c r="BR671" t="s">
        <v>99</v>
      </c>
      <c r="BS671" t="s">
        <v>9640</v>
      </c>
      <c r="BT671" t="str">
        <f>HYPERLINK("https%3A%2F%2Fwww.webofscience.com%2Fwos%2Fwoscc%2Ffull-record%2FWOS:000226052200004","View Full Record in Web of Science")</f>
        <v>View Full Record in Web of Science</v>
      </c>
    </row>
    <row r="672" spans="1:72" x14ac:dyDescent="0.15">
      <c r="A672" t="s">
        <v>3934</v>
      </c>
      <c r="B672" t="s">
        <v>9641</v>
      </c>
      <c r="C672" t="s">
        <v>74</v>
      </c>
      <c r="D672" t="s">
        <v>9642</v>
      </c>
      <c r="E672" t="s">
        <v>74</v>
      </c>
      <c r="F672" t="s">
        <v>9643</v>
      </c>
      <c r="G672" t="s">
        <v>74</v>
      </c>
      <c r="H672" t="s">
        <v>74</v>
      </c>
      <c r="I672" t="s">
        <v>9644</v>
      </c>
      <c r="J672" t="s">
        <v>9645</v>
      </c>
      <c r="K672" t="s">
        <v>9646</v>
      </c>
      <c r="L672" t="s">
        <v>74</v>
      </c>
      <c r="M672" t="s">
        <v>77</v>
      </c>
      <c r="N672" t="s">
        <v>3940</v>
      </c>
      <c r="O672" t="s">
        <v>9647</v>
      </c>
      <c r="P672" t="s">
        <v>9648</v>
      </c>
      <c r="Q672" t="s">
        <v>9649</v>
      </c>
      <c r="R672" t="s">
        <v>74</v>
      </c>
      <c r="S672" t="s">
        <v>74</v>
      </c>
      <c r="T672" t="s">
        <v>74</v>
      </c>
      <c r="U672" t="s">
        <v>9650</v>
      </c>
      <c r="V672" t="s">
        <v>9651</v>
      </c>
      <c r="W672" t="s">
        <v>647</v>
      </c>
      <c r="X672" t="s">
        <v>82</v>
      </c>
      <c r="Y672" t="s">
        <v>9652</v>
      </c>
      <c r="Z672" t="s">
        <v>9653</v>
      </c>
      <c r="AA672" t="s">
        <v>9654</v>
      </c>
      <c r="AB672" t="s">
        <v>74</v>
      </c>
      <c r="AC672" t="s">
        <v>74</v>
      </c>
      <c r="AD672" t="s">
        <v>74</v>
      </c>
      <c r="AE672" t="s">
        <v>74</v>
      </c>
      <c r="AF672" t="s">
        <v>74</v>
      </c>
      <c r="AG672">
        <v>31</v>
      </c>
      <c r="AH672">
        <v>2</v>
      </c>
      <c r="AI672">
        <v>2</v>
      </c>
      <c r="AJ672">
        <v>0</v>
      </c>
      <c r="AK672">
        <v>3</v>
      </c>
      <c r="AL672" t="s">
        <v>9064</v>
      </c>
      <c r="AM672" t="s">
        <v>9065</v>
      </c>
      <c r="AN672" t="s">
        <v>9655</v>
      </c>
      <c r="AO672" t="s">
        <v>9656</v>
      </c>
      <c r="AP672" t="s">
        <v>74</v>
      </c>
      <c r="AQ672" t="s">
        <v>9657</v>
      </c>
      <c r="AR672" t="s">
        <v>9658</v>
      </c>
      <c r="AS672" t="s">
        <v>9659</v>
      </c>
      <c r="AT672" t="s">
        <v>74</v>
      </c>
      <c r="AU672">
        <v>2004</v>
      </c>
      <c r="AV672">
        <v>2</v>
      </c>
      <c r="AW672" t="s">
        <v>74</v>
      </c>
      <c r="AX672" t="s">
        <v>74</v>
      </c>
      <c r="AY672" t="s">
        <v>74</v>
      </c>
      <c r="AZ672" t="s">
        <v>74</v>
      </c>
      <c r="BA672" t="s">
        <v>74</v>
      </c>
      <c r="BB672">
        <v>761</v>
      </c>
      <c r="BC672">
        <v>774</v>
      </c>
      <c r="BD672" t="s">
        <v>74</v>
      </c>
      <c r="BE672" t="s">
        <v>74</v>
      </c>
      <c r="BF672" t="s">
        <v>74</v>
      </c>
      <c r="BG672" t="s">
        <v>74</v>
      </c>
      <c r="BH672" t="s">
        <v>74</v>
      </c>
      <c r="BI672">
        <v>14</v>
      </c>
      <c r="BJ672" t="s">
        <v>9660</v>
      </c>
      <c r="BK672" t="s">
        <v>3955</v>
      </c>
      <c r="BL672" t="s">
        <v>9660</v>
      </c>
      <c r="BM672" t="s">
        <v>9661</v>
      </c>
      <c r="BN672" t="s">
        <v>74</v>
      </c>
      <c r="BO672" t="s">
        <v>74</v>
      </c>
      <c r="BP672" t="s">
        <v>74</v>
      </c>
      <c r="BQ672" t="s">
        <v>74</v>
      </c>
      <c r="BR672" t="s">
        <v>99</v>
      </c>
      <c r="BS672" t="s">
        <v>9662</v>
      </c>
      <c r="BT672" t="str">
        <f>HYPERLINK("https%3A%2F%2Fwww.webofscience.com%2Fwos%2Fwoscc%2Ffull-record%2FWOS:000241893000065","View Full Record in Web of Science")</f>
        <v>View Full Record in Web of Science</v>
      </c>
    </row>
    <row r="673" spans="1:72" x14ac:dyDescent="0.15">
      <c r="A673" t="s">
        <v>3934</v>
      </c>
      <c r="B673" t="s">
        <v>9266</v>
      </c>
      <c r="C673" t="s">
        <v>74</v>
      </c>
      <c r="D673" t="s">
        <v>74</v>
      </c>
      <c r="E673" t="s">
        <v>3948</v>
      </c>
      <c r="F673" t="s">
        <v>9266</v>
      </c>
      <c r="G673" t="s">
        <v>74</v>
      </c>
      <c r="H673" t="s">
        <v>74</v>
      </c>
      <c r="I673" t="s">
        <v>9663</v>
      </c>
      <c r="J673" t="s">
        <v>9664</v>
      </c>
      <c r="K673" t="s">
        <v>74</v>
      </c>
      <c r="L673" t="s">
        <v>74</v>
      </c>
      <c r="M673" t="s">
        <v>77</v>
      </c>
      <c r="N673" t="s">
        <v>3940</v>
      </c>
      <c r="O673" t="s">
        <v>9665</v>
      </c>
      <c r="P673" t="s">
        <v>9666</v>
      </c>
      <c r="Q673" t="s">
        <v>9667</v>
      </c>
      <c r="R673" t="s">
        <v>74</v>
      </c>
      <c r="S673" t="s">
        <v>74</v>
      </c>
      <c r="T673" t="s">
        <v>9668</v>
      </c>
      <c r="U673" t="s">
        <v>9669</v>
      </c>
      <c r="V673" t="s">
        <v>9670</v>
      </c>
      <c r="W673" t="s">
        <v>9274</v>
      </c>
      <c r="X673" t="s">
        <v>9275</v>
      </c>
      <c r="Y673" t="s">
        <v>9276</v>
      </c>
      <c r="Z673" t="s">
        <v>74</v>
      </c>
      <c r="AA673" t="s">
        <v>74</v>
      </c>
      <c r="AB673" t="s">
        <v>74</v>
      </c>
      <c r="AC673" t="s">
        <v>74</v>
      </c>
      <c r="AD673" t="s">
        <v>74</v>
      </c>
      <c r="AE673" t="s">
        <v>74</v>
      </c>
      <c r="AF673" t="s">
        <v>74</v>
      </c>
      <c r="AG673">
        <v>21</v>
      </c>
      <c r="AH673">
        <v>0</v>
      </c>
      <c r="AI673">
        <v>0</v>
      </c>
      <c r="AJ673">
        <v>0</v>
      </c>
      <c r="AK673">
        <v>1</v>
      </c>
      <c r="AL673" t="s">
        <v>3948</v>
      </c>
      <c r="AM673" t="s">
        <v>87</v>
      </c>
      <c r="AN673" t="s">
        <v>3949</v>
      </c>
      <c r="AO673" t="s">
        <v>74</v>
      </c>
      <c r="AP673" t="s">
        <v>74</v>
      </c>
      <c r="AQ673" t="s">
        <v>9671</v>
      </c>
      <c r="AR673" t="s">
        <v>74</v>
      </c>
      <c r="AS673" t="s">
        <v>74</v>
      </c>
      <c r="AT673" t="s">
        <v>74</v>
      </c>
      <c r="AU673">
        <v>2004</v>
      </c>
      <c r="AV673" t="s">
        <v>74</v>
      </c>
      <c r="AW673" t="s">
        <v>74</v>
      </c>
      <c r="AX673" t="s">
        <v>74</v>
      </c>
      <c r="AY673" t="s">
        <v>74</v>
      </c>
      <c r="AZ673" t="s">
        <v>74</v>
      </c>
      <c r="BA673" t="s">
        <v>74</v>
      </c>
      <c r="BB673">
        <v>161</v>
      </c>
      <c r="BC673">
        <v>168</v>
      </c>
      <c r="BD673" t="s">
        <v>74</v>
      </c>
      <c r="BE673" t="s">
        <v>9672</v>
      </c>
      <c r="BF673" t="str">
        <f>HYPERLINK("http://dx.doi.org/10.1109/UT.2004.1405515","http://dx.doi.org/10.1109/UT.2004.1405515")</f>
        <v>http://dx.doi.org/10.1109/UT.2004.1405515</v>
      </c>
      <c r="BG673" t="s">
        <v>74</v>
      </c>
      <c r="BH673" t="s">
        <v>74</v>
      </c>
      <c r="BI673">
        <v>8</v>
      </c>
      <c r="BJ673" t="s">
        <v>9673</v>
      </c>
      <c r="BK673" t="s">
        <v>3955</v>
      </c>
      <c r="BL673" t="s">
        <v>3956</v>
      </c>
      <c r="BM673" t="s">
        <v>9674</v>
      </c>
      <c r="BN673" t="s">
        <v>74</v>
      </c>
      <c r="BO673" t="s">
        <v>74</v>
      </c>
      <c r="BP673" t="s">
        <v>74</v>
      </c>
      <c r="BQ673" t="s">
        <v>74</v>
      </c>
      <c r="BR673" t="s">
        <v>99</v>
      </c>
      <c r="BS673" t="s">
        <v>9675</v>
      </c>
      <c r="BT673" t="str">
        <f>HYPERLINK("https%3A%2F%2Fwww.webofscience.com%2Fwos%2Fwoscc%2Ffull-record%2FWOS:000227356400023","View Full Record in Web of Science")</f>
        <v>View Full Record in Web of Science</v>
      </c>
    </row>
    <row r="674" spans="1:72" x14ac:dyDescent="0.15">
      <c r="A674" t="s">
        <v>3934</v>
      </c>
      <c r="B674" t="s">
        <v>9676</v>
      </c>
      <c r="C674" t="s">
        <v>74</v>
      </c>
      <c r="D674" t="s">
        <v>9677</v>
      </c>
      <c r="E674" t="s">
        <v>74</v>
      </c>
      <c r="F674" t="s">
        <v>9676</v>
      </c>
      <c r="G674" t="s">
        <v>74</v>
      </c>
      <c r="H674" t="s">
        <v>74</v>
      </c>
      <c r="I674" t="s">
        <v>9678</v>
      </c>
      <c r="J674" t="s">
        <v>9679</v>
      </c>
      <c r="K674" t="s">
        <v>9680</v>
      </c>
      <c r="L674" t="s">
        <v>74</v>
      </c>
      <c r="M674" t="s">
        <v>77</v>
      </c>
      <c r="N674" t="s">
        <v>3940</v>
      </c>
      <c r="O674" t="s">
        <v>9681</v>
      </c>
      <c r="P674" t="s">
        <v>9682</v>
      </c>
      <c r="Q674" t="s">
        <v>9683</v>
      </c>
      <c r="R674" t="s">
        <v>74</v>
      </c>
      <c r="S674" t="s">
        <v>74</v>
      </c>
      <c r="T674" t="s">
        <v>9684</v>
      </c>
      <c r="U674" t="s">
        <v>74</v>
      </c>
      <c r="V674" t="s">
        <v>9685</v>
      </c>
      <c r="W674" t="s">
        <v>9686</v>
      </c>
      <c r="X674" t="s">
        <v>74</v>
      </c>
      <c r="Y674" t="s">
        <v>9687</v>
      </c>
      <c r="Z674" t="s">
        <v>74</v>
      </c>
      <c r="AA674" t="s">
        <v>74</v>
      </c>
      <c r="AB674" t="s">
        <v>74</v>
      </c>
      <c r="AC674" t="s">
        <v>74</v>
      </c>
      <c r="AD674" t="s">
        <v>74</v>
      </c>
      <c r="AE674" t="s">
        <v>74</v>
      </c>
      <c r="AF674" t="s">
        <v>74</v>
      </c>
      <c r="AG674">
        <v>0</v>
      </c>
      <c r="AH674">
        <v>0</v>
      </c>
      <c r="AI674">
        <v>0</v>
      </c>
      <c r="AJ674">
        <v>0</v>
      </c>
      <c r="AK674">
        <v>0</v>
      </c>
      <c r="AL674" t="s">
        <v>9688</v>
      </c>
      <c r="AM674" t="s">
        <v>9689</v>
      </c>
      <c r="AN674" t="s">
        <v>9690</v>
      </c>
      <c r="AO674" t="s">
        <v>9691</v>
      </c>
      <c r="AP674" t="s">
        <v>74</v>
      </c>
      <c r="AQ674" t="s">
        <v>9692</v>
      </c>
      <c r="AR674" t="s">
        <v>9693</v>
      </c>
      <c r="AS674" t="s">
        <v>74</v>
      </c>
      <c r="AT674" t="s">
        <v>74</v>
      </c>
      <c r="AU674">
        <v>2004</v>
      </c>
      <c r="AV674" t="s">
        <v>74</v>
      </c>
      <c r="AW674" t="s">
        <v>74</v>
      </c>
      <c r="AX674" t="s">
        <v>74</v>
      </c>
      <c r="AY674" t="s">
        <v>74</v>
      </c>
      <c r="AZ674" t="s">
        <v>74</v>
      </c>
      <c r="BA674" t="s">
        <v>74</v>
      </c>
      <c r="BB674">
        <v>781</v>
      </c>
      <c r="BC674">
        <v>786</v>
      </c>
      <c r="BD674" t="s">
        <v>74</v>
      </c>
      <c r="BE674" t="s">
        <v>74</v>
      </c>
      <c r="BF674" t="s">
        <v>74</v>
      </c>
      <c r="BG674" t="s">
        <v>74</v>
      </c>
      <c r="BH674" t="s">
        <v>74</v>
      </c>
      <c r="BI674">
        <v>6</v>
      </c>
      <c r="BJ674" t="s">
        <v>9694</v>
      </c>
      <c r="BK674" t="s">
        <v>3955</v>
      </c>
      <c r="BL674" t="s">
        <v>9695</v>
      </c>
      <c r="BM674" t="s">
        <v>9696</v>
      </c>
      <c r="BN674" t="s">
        <v>74</v>
      </c>
      <c r="BO674" t="s">
        <v>74</v>
      </c>
      <c r="BP674" t="s">
        <v>74</v>
      </c>
      <c r="BQ674" t="s">
        <v>74</v>
      </c>
      <c r="BR674" t="s">
        <v>99</v>
      </c>
      <c r="BS674" t="s">
        <v>9697</v>
      </c>
      <c r="BT674" t="str">
        <f>HYPERLINK("https%3A%2F%2Fwww.webofscience.com%2Fwos%2Fwoscc%2Ffull-record%2FWOS:000223780000118","View Full Record in Web of Science")</f>
        <v>View Full Record in Web of Science</v>
      </c>
    </row>
    <row r="675" spans="1:72" x14ac:dyDescent="0.15">
      <c r="A675" t="s">
        <v>3934</v>
      </c>
      <c r="B675" t="s">
        <v>9698</v>
      </c>
      <c r="C675" t="s">
        <v>74</v>
      </c>
      <c r="D675" t="s">
        <v>9677</v>
      </c>
      <c r="E675" t="s">
        <v>74</v>
      </c>
      <c r="F675" t="s">
        <v>9698</v>
      </c>
      <c r="G675" t="s">
        <v>74</v>
      </c>
      <c r="H675" t="s">
        <v>74</v>
      </c>
      <c r="I675" t="s">
        <v>9699</v>
      </c>
      <c r="J675" t="s">
        <v>9679</v>
      </c>
      <c r="K675" t="s">
        <v>9680</v>
      </c>
      <c r="L675" t="s">
        <v>74</v>
      </c>
      <c r="M675" t="s">
        <v>77</v>
      </c>
      <c r="N675" t="s">
        <v>3940</v>
      </c>
      <c r="O675" t="s">
        <v>9681</v>
      </c>
      <c r="P675" t="s">
        <v>9682</v>
      </c>
      <c r="Q675" t="s">
        <v>9683</v>
      </c>
      <c r="R675" t="s">
        <v>74</v>
      </c>
      <c r="S675" t="s">
        <v>74</v>
      </c>
      <c r="T675" t="s">
        <v>9700</v>
      </c>
      <c r="U675" t="s">
        <v>74</v>
      </c>
      <c r="V675" t="s">
        <v>9701</v>
      </c>
      <c r="W675" t="s">
        <v>9702</v>
      </c>
      <c r="X675" t="s">
        <v>74</v>
      </c>
      <c r="Y675" t="s">
        <v>9703</v>
      </c>
      <c r="Z675" t="s">
        <v>74</v>
      </c>
      <c r="AA675" t="s">
        <v>9704</v>
      </c>
      <c r="AB675" t="s">
        <v>9705</v>
      </c>
      <c r="AC675" t="s">
        <v>74</v>
      </c>
      <c r="AD675" t="s">
        <v>74</v>
      </c>
      <c r="AE675" t="s">
        <v>74</v>
      </c>
      <c r="AF675" t="s">
        <v>74</v>
      </c>
      <c r="AG675">
        <v>14</v>
      </c>
      <c r="AH675">
        <v>0</v>
      </c>
      <c r="AI675">
        <v>0</v>
      </c>
      <c r="AJ675">
        <v>0</v>
      </c>
      <c r="AK675">
        <v>1</v>
      </c>
      <c r="AL675" t="s">
        <v>9688</v>
      </c>
      <c r="AM675" t="s">
        <v>9689</v>
      </c>
      <c r="AN675" t="s">
        <v>9690</v>
      </c>
      <c r="AO675" t="s">
        <v>9691</v>
      </c>
      <c r="AP675" t="s">
        <v>74</v>
      </c>
      <c r="AQ675" t="s">
        <v>9692</v>
      </c>
      <c r="AR675" t="s">
        <v>9693</v>
      </c>
      <c r="AS675" t="s">
        <v>74</v>
      </c>
      <c r="AT675" t="s">
        <v>74</v>
      </c>
      <c r="AU675">
        <v>2004</v>
      </c>
      <c r="AV675" t="s">
        <v>74</v>
      </c>
      <c r="AW675" t="s">
        <v>74</v>
      </c>
      <c r="AX675" t="s">
        <v>74</v>
      </c>
      <c r="AY675" t="s">
        <v>74</v>
      </c>
      <c r="AZ675" t="s">
        <v>74</v>
      </c>
      <c r="BA675" t="s">
        <v>74</v>
      </c>
      <c r="BB675">
        <v>787</v>
      </c>
      <c r="BC675">
        <v>794</v>
      </c>
      <c r="BD675" t="s">
        <v>74</v>
      </c>
      <c r="BE675" t="s">
        <v>74</v>
      </c>
      <c r="BF675" t="s">
        <v>74</v>
      </c>
      <c r="BG675" t="s">
        <v>74</v>
      </c>
      <c r="BH675" t="s">
        <v>74</v>
      </c>
      <c r="BI675">
        <v>8</v>
      </c>
      <c r="BJ675" t="s">
        <v>9694</v>
      </c>
      <c r="BK675" t="s">
        <v>3955</v>
      </c>
      <c r="BL675" t="s">
        <v>9695</v>
      </c>
      <c r="BM675" t="s">
        <v>9696</v>
      </c>
      <c r="BN675" t="s">
        <v>74</v>
      </c>
      <c r="BO675" t="s">
        <v>74</v>
      </c>
      <c r="BP675" t="s">
        <v>74</v>
      </c>
      <c r="BQ675" t="s">
        <v>74</v>
      </c>
      <c r="BR675" t="s">
        <v>99</v>
      </c>
      <c r="BS675" t="s">
        <v>9706</v>
      </c>
      <c r="BT675" t="str">
        <f>HYPERLINK("https%3A%2F%2Fwww.webofscience.com%2Fwos%2Fwoscc%2Ffull-record%2FWOS:000223780000119","View Full Record in Web of Science")</f>
        <v>View Full Record in Web of Science</v>
      </c>
    </row>
    <row r="676" spans="1:72" x14ac:dyDescent="0.15">
      <c r="A676" t="s">
        <v>3934</v>
      </c>
      <c r="B676" t="s">
        <v>9707</v>
      </c>
      <c r="C676" t="s">
        <v>74</v>
      </c>
      <c r="D676" t="s">
        <v>9677</v>
      </c>
      <c r="E676" t="s">
        <v>74</v>
      </c>
      <c r="F676" t="s">
        <v>9707</v>
      </c>
      <c r="G676" t="s">
        <v>74</v>
      </c>
      <c r="H676" t="s">
        <v>74</v>
      </c>
      <c r="I676" t="s">
        <v>9708</v>
      </c>
      <c r="J676" t="s">
        <v>9679</v>
      </c>
      <c r="K676" t="s">
        <v>9680</v>
      </c>
      <c r="L676" t="s">
        <v>74</v>
      </c>
      <c r="M676" t="s">
        <v>77</v>
      </c>
      <c r="N676" t="s">
        <v>3940</v>
      </c>
      <c r="O676" t="s">
        <v>9681</v>
      </c>
      <c r="P676" t="s">
        <v>9682</v>
      </c>
      <c r="Q676" t="s">
        <v>9683</v>
      </c>
      <c r="R676" t="s">
        <v>74</v>
      </c>
      <c r="S676" t="s">
        <v>74</v>
      </c>
      <c r="T676" t="s">
        <v>9709</v>
      </c>
      <c r="U676" t="s">
        <v>74</v>
      </c>
      <c r="V676" t="s">
        <v>9710</v>
      </c>
      <c r="W676" t="s">
        <v>9711</v>
      </c>
      <c r="X676" t="s">
        <v>9712</v>
      </c>
      <c r="Y676" t="s">
        <v>9713</v>
      </c>
      <c r="Z676" t="s">
        <v>74</v>
      </c>
      <c r="AA676" t="s">
        <v>74</v>
      </c>
      <c r="AB676" t="s">
        <v>74</v>
      </c>
      <c r="AC676" t="s">
        <v>74</v>
      </c>
      <c r="AD676" t="s">
        <v>74</v>
      </c>
      <c r="AE676" t="s">
        <v>74</v>
      </c>
      <c r="AF676" t="s">
        <v>74</v>
      </c>
      <c r="AG676">
        <v>3</v>
      </c>
      <c r="AH676">
        <v>1</v>
      </c>
      <c r="AI676">
        <v>1</v>
      </c>
      <c r="AJ676">
        <v>0</v>
      </c>
      <c r="AK676">
        <v>1</v>
      </c>
      <c r="AL676" t="s">
        <v>9688</v>
      </c>
      <c r="AM676" t="s">
        <v>9689</v>
      </c>
      <c r="AN676" t="s">
        <v>9690</v>
      </c>
      <c r="AO676" t="s">
        <v>9691</v>
      </c>
      <c r="AP676" t="s">
        <v>74</v>
      </c>
      <c r="AQ676" t="s">
        <v>9692</v>
      </c>
      <c r="AR676" t="s">
        <v>9693</v>
      </c>
      <c r="AS676" t="s">
        <v>74</v>
      </c>
      <c r="AT676" t="s">
        <v>74</v>
      </c>
      <c r="AU676">
        <v>2004</v>
      </c>
      <c r="AV676" t="s">
        <v>74</v>
      </c>
      <c r="AW676" t="s">
        <v>74</v>
      </c>
      <c r="AX676" t="s">
        <v>74</v>
      </c>
      <c r="AY676" t="s">
        <v>74</v>
      </c>
      <c r="AZ676" t="s">
        <v>74</v>
      </c>
      <c r="BA676" t="s">
        <v>74</v>
      </c>
      <c r="BB676">
        <v>802</v>
      </c>
      <c r="BC676">
        <v>805</v>
      </c>
      <c r="BD676" t="s">
        <v>74</v>
      </c>
      <c r="BE676" t="s">
        <v>74</v>
      </c>
      <c r="BF676" t="s">
        <v>74</v>
      </c>
      <c r="BG676" t="s">
        <v>74</v>
      </c>
      <c r="BH676" t="s">
        <v>74</v>
      </c>
      <c r="BI676">
        <v>4</v>
      </c>
      <c r="BJ676" t="s">
        <v>9694</v>
      </c>
      <c r="BK676" t="s">
        <v>3955</v>
      </c>
      <c r="BL676" t="s">
        <v>9695</v>
      </c>
      <c r="BM676" t="s">
        <v>9696</v>
      </c>
      <c r="BN676" t="s">
        <v>74</v>
      </c>
      <c r="BO676" t="s">
        <v>74</v>
      </c>
      <c r="BP676" t="s">
        <v>74</v>
      </c>
      <c r="BQ676" t="s">
        <v>74</v>
      </c>
      <c r="BR676" t="s">
        <v>99</v>
      </c>
      <c r="BS676" t="s">
        <v>9714</v>
      </c>
      <c r="BT676" t="str">
        <f>HYPERLINK("https%3A%2F%2Fwww.webofscience.com%2Fwos%2Fwoscc%2Ffull-record%2FWOS:000223780000121","View Full Record in Web of Science")</f>
        <v>View Full Record in Web of Science</v>
      </c>
    </row>
    <row r="677" spans="1:72" x14ac:dyDescent="0.15">
      <c r="A677" t="s">
        <v>3934</v>
      </c>
      <c r="B677" t="s">
        <v>9715</v>
      </c>
      <c r="C677" t="s">
        <v>74</v>
      </c>
      <c r="D677" t="s">
        <v>9677</v>
      </c>
      <c r="E677" t="s">
        <v>74</v>
      </c>
      <c r="F677" t="s">
        <v>9715</v>
      </c>
      <c r="G677" t="s">
        <v>74</v>
      </c>
      <c r="H677" t="s">
        <v>74</v>
      </c>
      <c r="I677" t="s">
        <v>9716</v>
      </c>
      <c r="J677" t="s">
        <v>9679</v>
      </c>
      <c r="K677" t="s">
        <v>9680</v>
      </c>
      <c r="L677" t="s">
        <v>74</v>
      </c>
      <c r="M677" t="s">
        <v>77</v>
      </c>
      <c r="N677" t="s">
        <v>3940</v>
      </c>
      <c r="O677" t="s">
        <v>9681</v>
      </c>
      <c r="P677" t="s">
        <v>9682</v>
      </c>
      <c r="Q677" t="s">
        <v>9683</v>
      </c>
      <c r="R677" t="s">
        <v>74</v>
      </c>
      <c r="S677" t="s">
        <v>74</v>
      </c>
      <c r="T677" t="s">
        <v>9717</v>
      </c>
      <c r="U677" t="s">
        <v>9718</v>
      </c>
      <c r="V677" t="s">
        <v>9719</v>
      </c>
      <c r="W677" t="s">
        <v>9720</v>
      </c>
      <c r="X677" t="s">
        <v>9721</v>
      </c>
      <c r="Y677" t="s">
        <v>9722</v>
      </c>
      <c r="Z677" t="s">
        <v>74</v>
      </c>
      <c r="AA677" t="s">
        <v>74</v>
      </c>
      <c r="AB677" t="s">
        <v>74</v>
      </c>
      <c r="AC677" t="s">
        <v>74</v>
      </c>
      <c r="AD677" t="s">
        <v>74</v>
      </c>
      <c r="AE677" t="s">
        <v>74</v>
      </c>
      <c r="AF677" t="s">
        <v>74</v>
      </c>
      <c r="AG677">
        <v>14</v>
      </c>
      <c r="AH677">
        <v>3</v>
      </c>
      <c r="AI677">
        <v>3</v>
      </c>
      <c r="AJ677">
        <v>0</v>
      </c>
      <c r="AK677">
        <v>2</v>
      </c>
      <c r="AL677" t="s">
        <v>9688</v>
      </c>
      <c r="AM677" t="s">
        <v>9689</v>
      </c>
      <c r="AN677" t="s">
        <v>9690</v>
      </c>
      <c r="AO677" t="s">
        <v>9691</v>
      </c>
      <c r="AP677" t="s">
        <v>74</v>
      </c>
      <c r="AQ677" t="s">
        <v>9692</v>
      </c>
      <c r="AR677" t="s">
        <v>9693</v>
      </c>
      <c r="AS677" t="s">
        <v>74</v>
      </c>
      <c r="AT677" t="s">
        <v>74</v>
      </c>
      <c r="AU677">
        <v>2004</v>
      </c>
      <c r="AV677" t="s">
        <v>74</v>
      </c>
      <c r="AW677" t="s">
        <v>74</v>
      </c>
      <c r="AX677" t="s">
        <v>74</v>
      </c>
      <c r="AY677" t="s">
        <v>74</v>
      </c>
      <c r="AZ677" t="s">
        <v>74</v>
      </c>
      <c r="BA677" t="s">
        <v>74</v>
      </c>
      <c r="BB677">
        <v>806</v>
      </c>
      <c r="BC677">
        <v>812</v>
      </c>
      <c r="BD677" t="s">
        <v>74</v>
      </c>
      <c r="BE677" t="s">
        <v>74</v>
      </c>
      <c r="BF677" t="s">
        <v>74</v>
      </c>
      <c r="BG677" t="s">
        <v>74</v>
      </c>
      <c r="BH677" t="s">
        <v>74</v>
      </c>
      <c r="BI677">
        <v>7</v>
      </c>
      <c r="BJ677" t="s">
        <v>9694</v>
      </c>
      <c r="BK677" t="s">
        <v>3955</v>
      </c>
      <c r="BL677" t="s">
        <v>9695</v>
      </c>
      <c r="BM677" t="s">
        <v>9696</v>
      </c>
      <c r="BN677" t="s">
        <v>74</v>
      </c>
      <c r="BO677" t="s">
        <v>74</v>
      </c>
      <c r="BP677" t="s">
        <v>74</v>
      </c>
      <c r="BQ677" t="s">
        <v>74</v>
      </c>
      <c r="BR677" t="s">
        <v>99</v>
      </c>
      <c r="BS677" t="s">
        <v>9723</v>
      </c>
      <c r="BT677" t="str">
        <f>HYPERLINK("https%3A%2F%2Fwww.webofscience.com%2Fwos%2Fwoscc%2Ffull-record%2FWOS:000223780000122","View Full Record in Web of Science")</f>
        <v>View Full Record in Web of Science</v>
      </c>
    </row>
    <row r="678" spans="1:72" x14ac:dyDescent="0.15">
      <c r="A678" t="s">
        <v>3934</v>
      </c>
      <c r="B678" t="s">
        <v>9724</v>
      </c>
      <c r="C678" t="s">
        <v>74</v>
      </c>
      <c r="D678" t="s">
        <v>9725</v>
      </c>
      <c r="E678" t="s">
        <v>74</v>
      </c>
      <c r="F678" t="s">
        <v>9724</v>
      </c>
      <c r="G678" t="s">
        <v>74</v>
      </c>
      <c r="H678" t="s">
        <v>74</v>
      </c>
      <c r="I678" t="s">
        <v>9726</v>
      </c>
      <c r="J678" t="s">
        <v>9727</v>
      </c>
      <c r="K678" t="s">
        <v>9728</v>
      </c>
      <c r="L678" t="s">
        <v>74</v>
      </c>
      <c r="M678" t="s">
        <v>77</v>
      </c>
      <c r="N678" t="s">
        <v>3940</v>
      </c>
      <c r="O678" t="s">
        <v>9729</v>
      </c>
      <c r="P678" t="s">
        <v>9730</v>
      </c>
      <c r="Q678" t="s">
        <v>9731</v>
      </c>
      <c r="R678" t="s">
        <v>74</v>
      </c>
      <c r="S678" t="s">
        <v>9732</v>
      </c>
      <c r="T678" t="s">
        <v>74</v>
      </c>
      <c r="U678" t="s">
        <v>9733</v>
      </c>
      <c r="V678" t="s">
        <v>9734</v>
      </c>
      <c r="W678" t="s">
        <v>3372</v>
      </c>
      <c r="X678" t="s">
        <v>3373</v>
      </c>
      <c r="Y678" t="s">
        <v>3374</v>
      </c>
      <c r="Z678" t="s">
        <v>9735</v>
      </c>
      <c r="AA678" t="s">
        <v>211</v>
      </c>
      <c r="AB678" t="s">
        <v>212</v>
      </c>
      <c r="AC678" t="s">
        <v>74</v>
      </c>
      <c r="AD678" t="s">
        <v>74</v>
      </c>
      <c r="AE678" t="s">
        <v>74</v>
      </c>
      <c r="AF678" t="s">
        <v>74</v>
      </c>
      <c r="AG678">
        <v>20</v>
      </c>
      <c r="AH678">
        <v>2</v>
      </c>
      <c r="AI678">
        <v>2</v>
      </c>
      <c r="AJ678">
        <v>0</v>
      </c>
      <c r="AK678">
        <v>1</v>
      </c>
      <c r="AL678" t="s">
        <v>9736</v>
      </c>
      <c r="AM678" t="s">
        <v>9737</v>
      </c>
      <c r="AN678" t="s">
        <v>9738</v>
      </c>
      <c r="AO678" t="s">
        <v>9739</v>
      </c>
      <c r="AP678" t="s">
        <v>74</v>
      </c>
      <c r="AQ678" t="s">
        <v>9740</v>
      </c>
      <c r="AR678" t="s">
        <v>9741</v>
      </c>
      <c r="AS678" t="s">
        <v>74</v>
      </c>
      <c r="AT678" t="s">
        <v>74</v>
      </c>
      <c r="AU678">
        <v>2004</v>
      </c>
      <c r="AV678">
        <v>545</v>
      </c>
      <c r="AW678" t="s">
        <v>74</v>
      </c>
      <c r="AX678" t="s">
        <v>74</v>
      </c>
      <c r="AY678" t="s">
        <v>74</v>
      </c>
      <c r="AZ678" t="s">
        <v>74</v>
      </c>
      <c r="BA678" t="s">
        <v>74</v>
      </c>
      <c r="BB678">
        <v>33</v>
      </c>
      <c r="BC678">
        <v>36</v>
      </c>
      <c r="BD678" t="s">
        <v>74</v>
      </c>
      <c r="BE678" t="s">
        <v>74</v>
      </c>
      <c r="BF678" t="s">
        <v>74</v>
      </c>
      <c r="BG678" t="s">
        <v>74</v>
      </c>
      <c r="BH678" t="s">
        <v>74</v>
      </c>
      <c r="BI678">
        <v>4</v>
      </c>
      <c r="BJ678" t="s">
        <v>395</v>
      </c>
      <c r="BK678" t="s">
        <v>3955</v>
      </c>
      <c r="BL678" t="s">
        <v>395</v>
      </c>
      <c r="BM678" t="s">
        <v>9742</v>
      </c>
      <c r="BN678" t="s">
        <v>74</v>
      </c>
      <c r="BO678" t="s">
        <v>74</v>
      </c>
      <c r="BP678" t="s">
        <v>74</v>
      </c>
      <c r="BQ678" t="s">
        <v>74</v>
      </c>
      <c r="BR678" t="s">
        <v>99</v>
      </c>
      <c r="BS678" t="s">
        <v>9743</v>
      </c>
      <c r="BT678" t="str">
        <f>HYPERLINK("https%3A%2F%2Fwww.webofscience.com%2Fwos%2Fwoscc%2Ffull-record%2FWOS:000221643000007","View Full Record in Web of Science")</f>
        <v>View Full Record in Web of Science</v>
      </c>
    </row>
    <row r="679" spans="1:72" x14ac:dyDescent="0.15">
      <c r="A679" t="s">
        <v>3934</v>
      </c>
      <c r="B679" t="s">
        <v>9744</v>
      </c>
      <c r="C679" t="s">
        <v>74</v>
      </c>
      <c r="D679" t="s">
        <v>9725</v>
      </c>
      <c r="E679" t="s">
        <v>74</v>
      </c>
      <c r="F679" t="s">
        <v>9744</v>
      </c>
      <c r="G679" t="s">
        <v>74</v>
      </c>
      <c r="H679" t="s">
        <v>74</v>
      </c>
      <c r="I679" t="s">
        <v>9745</v>
      </c>
      <c r="J679" t="s">
        <v>9727</v>
      </c>
      <c r="K679" t="s">
        <v>9746</v>
      </c>
      <c r="L679" t="s">
        <v>74</v>
      </c>
      <c r="M679" t="s">
        <v>77</v>
      </c>
      <c r="N679" t="s">
        <v>3940</v>
      </c>
      <c r="O679" t="s">
        <v>9729</v>
      </c>
      <c r="P679" t="s">
        <v>9730</v>
      </c>
      <c r="Q679" t="s">
        <v>9731</v>
      </c>
      <c r="R679" t="s">
        <v>74</v>
      </c>
      <c r="S679" t="s">
        <v>9732</v>
      </c>
      <c r="T679" t="s">
        <v>74</v>
      </c>
      <c r="U679" t="s">
        <v>9747</v>
      </c>
      <c r="V679" t="s">
        <v>9748</v>
      </c>
      <c r="W679" t="s">
        <v>9749</v>
      </c>
      <c r="X679" t="s">
        <v>9750</v>
      </c>
      <c r="Y679" t="s">
        <v>9751</v>
      </c>
      <c r="Z679" t="s">
        <v>74</v>
      </c>
      <c r="AA679" t="s">
        <v>9752</v>
      </c>
      <c r="AB679" t="s">
        <v>9753</v>
      </c>
      <c r="AC679" t="s">
        <v>74</v>
      </c>
      <c r="AD679" t="s">
        <v>74</v>
      </c>
      <c r="AE679" t="s">
        <v>74</v>
      </c>
      <c r="AF679" t="s">
        <v>74</v>
      </c>
      <c r="AG679">
        <v>13</v>
      </c>
      <c r="AH679">
        <v>0</v>
      </c>
      <c r="AI679">
        <v>0</v>
      </c>
      <c r="AJ679">
        <v>0</v>
      </c>
      <c r="AK679">
        <v>10</v>
      </c>
      <c r="AL679" t="s">
        <v>9736</v>
      </c>
      <c r="AM679" t="s">
        <v>9737</v>
      </c>
      <c r="AN679" t="s">
        <v>9738</v>
      </c>
      <c r="AO679" t="s">
        <v>9739</v>
      </c>
      <c r="AP679" t="s">
        <v>74</v>
      </c>
      <c r="AQ679" t="s">
        <v>9740</v>
      </c>
      <c r="AR679" t="s">
        <v>9754</v>
      </c>
      <c r="AS679" t="s">
        <v>74</v>
      </c>
      <c r="AT679" t="s">
        <v>74</v>
      </c>
      <c r="AU679">
        <v>2004</v>
      </c>
      <c r="AV679">
        <v>545</v>
      </c>
      <c r="AW679" t="s">
        <v>74</v>
      </c>
      <c r="AX679" t="s">
        <v>74</v>
      </c>
      <c r="AY679" t="s">
        <v>74</v>
      </c>
      <c r="AZ679" t="s">
        <v>74</v>
      </c>
      <c r="BA679" t="s">
        <v>74</v>
      </c>
      <c r="BB679">
        <v>67</v>
      </c>
      <c r="BC679">
        <v>69</v>
      </c>
      <c r="BD679" t="s">
        <v>74</v>
      </c>
      <c r="BE679" t="s">
        <v>74</v>
      </c>
      <c r="BF679" t="s">
        <v>74</v>
      </c>
      <c r="BG679" t="s">
        <v>74</v>
      </c>
      <c r="BH679" t="s">
        <v>74</v>
      </c>
      <c r="BI679">
        <v>3</v>
      </c>
      <c r="BJ679" t="s">
        <v>395</v>
      </c>
      <c r="BK679" t="s">
        <v>3955</v>
      </c>
      <c r="BL679" t="s">
        <v>395</v>
      </c>
      <c r="BM679" t="s">
        <v>9742</v>
      </c>
      <c r="BN679" t="s">
        <v>74</v>
      </c>
      <c r="BO679" t="s">
        <v>74</v>
      </c>
      <c r="BP679" t="s">
        <v>74</v>
      </c>
      <c r="BQ679" t="s">
        <v>74</v>
      </c>
      <c r="BR679" t="s">
        <v>99</v>
      </c>
      <c r="BS679" t="s">
        <v>9755</v>
      </c>
      <c r="BT679" t="str">
        <f>HYPERLINK("https%3A%2F%2Fwww.webofscience.com%2Fwos%2Fwoscc%2Ffull-record%2FWOS:000221643000015","View Full Record in Web of Science")</f>
        <v>View Full Record in Web of Science</v>
      </c>
    </row>
    <row r="680" spans="1:72" x14ac:dyDescent="0.15">
      <c r="A680" t="s">
        <v>3934</v>
      </c>
      <c r="B680" t="s">
        <v>9756</v>
      </c>
      <c r="C680" t="s">
        <v>74</v>
      </c>
      <c r="D680" t="s">
        <v>9725</v>
      </c>
      <c r="E680" t="s">
        <v>74</v>
      </c>
      <c r="F680" t="s">
        <v>9756</v>
      </c>
      <c r="G680" t="s">
        <v>74</v>
      </c>
      <c r="H680" t="s">
        <v>74</v>
      </c>
      <c r="I680" t="s">
        <v>9757</v>
      </c>
      <c r="J680" t="s">
        <v>9727</v>
      </c>
      <c r="K680" t="s">
        <v>9746</v>
      </c>
      <c r="L680" t="s">
        <v>74</v>
      </c>
      <c r="M680" t="s">
        <v>77</v>
      </c>
      <c r="N680" t="s">
        <v>3940</v>
      </c>
      <c r="O680" t="s">
        <v>9729</v>
      </c>
      <c r="P680" t="s">
        <v>9730</v>
      </c>
      <c r="Q680" t="s">
        <v>9731</v>
      </c>
      <c r="R680" t="s">
        <v>74</v>
      </c>
      <c r="S680" t="s">
        <v>9732</v>
      </c>
      <c r="T680" t="s">
        <v>74</v>
      </c>
      <c r="U680" t="s">
        <v>9758</v>
      </c>
      <c r="V680" t="s">
        <v>9759</v>
      </c>
      <c r="W680" t="s">
        <v>9760</v>
      </c>
      <c r="X680" t="s">
        <v>9761</v>
      </c>
      <c r="Y680" t="s">
        <v>9762</v>
      </c>
      <c r="Z680" t="s">
        <v>74</v>
      </c>
      <c r="AA680" t="s">
        <v>9763</v>
      </c>
      <c r="AB680" t="s">
        <v>9764</v>
      </c>
      <c r="AC680" t="s">
        <v>74</v>
      </c>
      <c r="AD680" t="s">
        <v>74</v>
      </c>
      <c r="AE680" t="s">
        <v>74</v>
      </c>
      <c r="AF680" t="s">
        <v>74</v>
      </c>
      <c r="AG680">
        <v>6</v>
      </c>
      <c r="AH680">
        <v>0</v>
      </c>
      <c r="AI680">
        <v>0</v>
      </c>
      <c r="AJ680">
        <v>0</v>
      </c>
      <c r="AK680">
        <v>4</v>
      </c>
      <c r="AL680" t="s">
        <v>9736</v>
      </c>
      <c r="AM680" t="s">
        <v>9737</v>
      </c>
      <c r="AN680" t="s">
        <v>9738</v>
      </c>
      <c r="AO680" t="s">
        <v>9739</v>
      </c>
      <c r="AP680" t="s">
        <v>74</v>
      </c>
      <c r="AQ680" t="s">
        <v>9740</v>
      </c>
      <c r="AR680" t="s">
        <v>9754</v>
      </c>
      <c r="AS680" t="s">
        <v>74</v>
      </c>
      <c r="AT680" t="s">
        <v>74</v>
      </c>
      <c r="AU680">
        <v>2004</v>
      </c>
      <c r="AV680">
        <v>545</v>
      </c>
      <c r="AW680" t="s">
        <v>74</v>
      </c>
      <c r="AX680" t="s">
        <v>74</v>
      </c>
      <c r="AY680" t="s">
        <v>74</v>
      </c>
      <c r="AZ680" t="s">
        <v>74</v>
      </c>
      <c r="BA680" t="s">
        <v>74</v>
      </c>
      <c r="BB680">
        <v>187</v>
      </c>
      <c r="BC680">
        <v>188</v>
      </c>
      <c r="BD680" t="s">
        <v>74</v>
      </c>
      <c r="BE680" t="s">
        <v>74</v>
      </c>
      <c r="BF680" t="s">
        <v>74</v>
      </c>
      <c r="BG680" t="s">
        <v>74</v>
      </c>
      <c r="BH680" t="s">
        <v>74</v>
      </c>
      <c r="BI680">
        <v>2</v>
      </c>
      <c r="BJ680" t="s">
        <v>395</v>
      </c>
      <c r="BK680" t="s">
        <v>3955</v>
      </c>
      <c r="BL680" t="s">
        <v>395</v>
      </c>
      <c r="BM680" t="s">
        <v>9742</v>
      </c>
      <c r="BN680" t="s">
        <v>74</v>
      </c>
      <c r="BO680" t="s">
        <v>74</v>
      </c>
      <c r="BP680" t="s">
        <v>74</v>
      </c>
      <c r="BQ680" t="s">
        <v>74</v>
      </c>
      <c r="BR680" t="s">
        <v>99</v>
      </c>
      <c r="BS680" t="s">
        <v>9765</v>
      </c>
      <c r="BT680" t="str">
        <f>HYPERLINK("https%3A%2F%2Fwww.webofscience.com%2Fwos%2Fwoscc%2Ffull-record%2FWOS:000221643000048","View Full Record in Web of Science")</f>
        <v>View Full Record in Web of Science</v>
      </c>
    </row>
    <row r="681" spans="1:72" x14ac:dyDescent="0.15">
      <c r="A681" t="s">
        <v>3934</v>
      </c>
      <c r="B681" t="s">
        <v>9766</v>
      </c>
      <c r="C681" t="s">
        <v>74</v>
      </c>
      <c r="D681" t="s">
        <v>9725</v>
      </c>
      <c r="E681" t="s">
        <v>74</v>
      </c>
      <c r="F681" t="s">
        <v>9766</v>
      </c>
      <c r="G681" t="s">
        <v>74</v>
      </c>
      <c r="H681" t="s">
        <v>74</v>
      </c>
      <c r="I681" t="s">
        <v>9767</v>
      </c>
      <c r="J681" t="s">
        <v>9727</v>
      </c>
      <c r="K681" t="s">
        <v>9728</v>
      </c>
      <c r="L681" t="s">
        <v>74</v>
      </c>
      <c r="M681" t="s">
        <v>77</v>
      </c>
      <c r="N681" t="s">
        <v>3940</v>
      </c>
      <c r="O681" t="s">
        <v>9729</v>
      </c>
      <c r="P681" t="s">
        <v>9730</v>
      </c>
      <c r="Q681" t="s">
        <v>9731</v>
      </c>
      <c r="R681" t="s">
        <v>74</v>
      </c>
      <c r="S681" t="s">
        <v>9732</v>
      </c>
      <c r="T681" t="s">
        <v>74</v>
      </c>
      <c r="U681" t="s">
        <v>74</v>
      </c>
      <c r="V681" t="s">
        <v>9768</v>
      </c>
      <c r="W681" t="s">
        <v>9769</v>
      </c>
      <c r="X681" t="s">
        <v>3373</v>
      </c>
      <c r="Y681" t="s">
        <v>9770</v>
      </c>
      <c r="Z681" t="s">
        <v>9771</v>
      </c>
      <c r="AA681" t="s">
        <v>74</v>
      </c>
      <c r="AB681" t="s">
        <v>74</v>
      </c>
      <c r="AC681" t="s">
        <v>74</v>
      </c>
      <c r="AD681" t="s">
        <v>74</v>
      </c>
      <c r="AE681" t="s">
        <v>74</v>
      </c>
      <c r="AF681" t="s">
        <v>74</v>
      </c>
      <c r="AG681">
        <v>5</v>
      </c>
      <c r="AH681">
        <v>1</v>
      </c>
      <c r="AI681">
        <v>1</v>
      </c>
      <c r="AJ681">
        <v>0</v>
      </c>
      <c r="AK681">
        <v>0</v>
      </c>
      <c r="AL681" t="s">
        <v>9736</v>
      </c>
      <c r="AM681" t="s">
        <v>9737</v>
      </c>
      <c r="AN681" t="s">
        <v>9738</v>
      </c>
      <c r="AO681" t="s">
        <v>9739</v>
      </c>
      <c r="AP681" t="s">
        <v>74</v>
      </c>
      <c r="AQ681" t="s">
        <v>9740</v>
      </c>
      <c r="AR681" t="s">
        <v>9741</v>
      </c>
      <c r="AS681" t="s">
        <v>74</v>
      </c>
      <c r="AT681" t="s">
        <v>74</v>
      </c>
      <c r="AU681">
        <v>2004</v>
      </c>
      <c r="AV681">
        <v>545</v>
      </c>
      <c r="AW681" t="s">
        <v>74</v>
      </c>
      <c r="AX681" t="s">
        <v>74</v>
      </c>
      <c r="AY681" t="s">
        <v>74</v>
      </c>
      <c r="AZ681" t="s">
        <v>74</v>
      </c>
      <c r="BA681" t="s">
        <v>74</v>
      </c>
      <c r="BB681">
        <v>243</v>
      </c>
      <c r="BC681">
        <v>244</v>
      </c>
      <c r="BD681" t="s">
        <v>74</v>
      </c>
      <c r="BE681" t="s">
        <v>74</v>
      </c>
      <c r="BF681" t="s">
        <v>74</v>
      </c>
      <c r="BG681" t="s">
        <v>74</v>
      </c>
      <c r="BH681" t="s">
        <v>74</v>
      </c>
      <c r="BI681">
        <v>2</v>
      </c>
      <c r="BJ681" t="s">
        <v>395</v>
      </c>
      <c r="BK681" t="s">
        <v>3955</v>
      </c>
      <c r="BL681" t="s">
        <v>395</v>
      </c>
      <c r="BM681" t="s">
        <v>9742</v>
      </c>
      <c r="BN681" t="s">
        <v>74</v>
      </c>
      <c r="BO681" t="s">
        <v>74</v>
      </c>
      <c r="BP681" t="s">
        <v>74</v>
      </c>
      <c r="BQ681" t="s">
        <v>74</v>
      </c>
      <c r="BR681" t="s">
        <v>99</v>
      </c>
      <c r="BS681" t="s">
        <v>9772</v>
      </c>
      <c r="BT681" t="str">
        <f>HYPERLINK("https%3A%2F%2Fwww.webofscience.com%2Fwos%2Fwoscc%2Ffull-record%2FWOS:000221643000076","View Full Record in Web of Science")</f>
        <v>View Full Record in Web of Science</v>
      </c>
    </row>
    <row r="682" spans="1:72" x14ac:dyDescent="0.15">
      <c r="A682" t="s">
        <v>3934</v>
      </c>
      <c r="B682" t="s">
        <v>9773</v>
      </c>
      <c r="C682" t="s">
        <v>74</v>
      </c>
      <c r="D682" t="s">
        <v>9725</v>
      </c>
      <c r="E682" t="s">
        <v>74</v>
      </c>
      <c r="F682" t="s">
        <v>9773</v>
      </c>
      <c r="G682" t="s">
        <v>74</v>
      </c>
      <c r="H682" t="s">
        <v>74</v>
      </c>
      <c r="I682" t="s">
        <v>9774</v>
      </c>
      <c r="J682" t="s">
        <v>9727</v>
      </c>
      <c r="K682" t="s">
        <v>9746</v>
      </c>
      <c r="L682" t="s">
        <v>74</v>
      </c>
      <c r="M682" t="s">
        <v>77</v>
      </c>
      <c r="N682" t="s">
        <v>3940</v>
      </c>
      <c r="O682" t="s">
        <v>9729</v>
      </c>
      <c r="P682" t="s">
        <v>9730</v>
      </c>
      <c r="Q682" t="s">
        <v>9731</v>
      </c>
      <c r="R682" t="s">
        <v>74</v>
      </c>
      <c r="S682" t="s">
        <v>9732</v>
      </c>
      <c r="T682" t="s">
        <v>74</v>
      </c>
      <c r="U682" t="s">
        <v>9775</v>
      </c>
      <c r="V682" t="s">
        <v>9776</v>
      </c>
      <c r="W682" t="s">
        <v>9777</v>
      </c>
      <c r="X682" t="s">
        <v>9455</v>
      </c>
      <c r="Y682" t="s">
        <v>9778</v>
      </c>
      <c r="Z682" t="s">
        <v>74</v>
      </c>
      <c r="AA682" t="s">
        <v>9458</v>
      </c>
      <c r="AB682" t="s">
        <v>9779</v>
      </c>
      <c r="AC682" t="s">
        <v>74</v>
      </c>
      <c r="AD682" t="s">
        <v>74</v>
      </c>
      <c r="AE682" t="s">
        <v>74</v>
      </c>
      <c r="AF682" t="s">
        <v>74</v>
      </c>
      <c r="AG682">
        <v>5</v>
      </c>
      <c r="AH682">
        <v>0</v>
      </c>
      <c r="AI682">
        <v>0</v>
      </c>
      <c r="AJ682">
        <v>0</v>
      </c>
      <c r="AK682">
        <v>5</v>
      </c>
      <c r="AL682" t="s">
        <v>9736</v>
      </c>
      <c r="AM682" t="s">
        <v>9737</v>
      </c>
      <c r="AN682" t="s">
        <v>9738</v>
      </c>
      <c r="AO682" t="s">
        <v>9739</v>
      </c>
      <c r="AP682" t="s">
        <v>74</v>
      </c>
      <c r="AQ682" t="s">
        <v>9740</v>
      </c>
      <c r="AR682" t="s">
        <v>9754</v>
      </c>
      <c r="AS682" t="s">
        <v>74</v>
      </c>
      <c r="AT682" t="s">
        <v>74</v>
      </c>
      <c r="AU682">
        <v>2004</v>
      </c>
      <c r="AV682">
        <v>545</v>
      </c>
      <c r="AW682" t="s">
        <v>74</v>
      </c>
      <c r="AX682" t="s">
        <v>74</v>
      </c>
      <c r="AY682" t="s">
        <v>74</v>
      </c>
      <c r="AZ682" t="s">
        <v>74</v>
      </c>
      <c r="BA682" t="s">
        <v>74</v>
      </c>
      <c r="BB682">
        <v>253</v>
      </c>
      <c r="BC682">
        <v>254</v>
      </c>
      <c r="BD682" t="s">
        <v>74</v>
      </c>
      <c r="BE682" t="s">
        <v>74</v>
      </c>
      <c r="BF682" t="s">
        <v>74</v>
      </c>
      <c r="BG682" t="s">
        <v>74</v>
      </c>
      <c r="BH682" t="s">
        <v>74</v>
      </c>
      <c r="BI682">
        <v>2</v>
      </c>
      <c r="BJ682" t="s">
        <v>395</v>
      </c>
      <c r="BK682" t="s">
        <v>3955</v>
      </c>
      <c r="BL682" t="s">
        <v>395</v>
      </c>
      <c r="BM682" t="s">
        <v>9742</v>
      </c>
      <c r="BN682" t="s">
        <v>74</v>
      </c>
      <c r="BO682" t="s">
        <v>74</v>
      </c>
      <c r="BP682" t="s">
        <v>74</v>
      </c>
      <c r="BQ682" t="s">
        <v>74</v>
      </c>
      <c r="BR682" t="s">
        <v>99</v>
      </c>
      <c r="BS682" t="s">
        <v>9780</v>
      </c>
      <c r="BT682" t="str">
        <f>HYPERLINK("https%3A%2F%2Fwww.webofscience.com%2Fwos%2Fwoscc%2Ffull-record%2FWOS:000221643000080","View Full Record in Web of Science")</f>
        <v>View Full Record in Web of Science</v>
      </c>
    </row>
    <row r="683" spans="1:72" x14ac:dyDescent="0.15">
      <c r="A683" t="s">
        <v>3934</v>
      </c>
      <c r="B683" t="s">
        <v>9781</v>
      </c>
      <c r="C683" t="s">
        <v>74</v>
      </c>
      <c r="D683" t="s">
        <v>9782</v>
      </c>
      <c r="E683" t="s">
        <v>74</v>
      </c>
      <c r="F683" t="s">
        <v>9781</v>
      </c>
      <c r="G683" t="s">
        <v>74</v>
      </c>
      <c r="H683" t="s">
        <v>74</v>
      </c>
      <c r="I683" t="s">
        <v>9783</v>
      </c>
      <c r="J683" t="s">
        <v>9784</v>
      </c>
      <c r="K683" t="s">
        <v>74</v>
      </c>
      <c r="L683" t="s">
        <v>74</v>
      </c>
      <c r="M683" t="s">
        <v>77</v>
      </c>
      <c r="N683" t="s">
        <v>3940</v>
      </c>
      <c r="O683" t="s">
        <v>9785</v>
      </c>
      <c r="P683" t="s">
        <v>9786</v>
      </c>
      <c r="Q683" t="s">
        <v>9787</v>
      </c>
      <c r="R683" t="s">
        <v>74</v>
      </c>
      <c r="S683" t="s">
        <v>9788</v>
      </c>
      <c r="T683" t="s">
        <v>9789</v>
      </c>
      <c r="U683" t="s">
        <v>9790</v>
      </c>
      <c r="V683" t="s">
        <v>9791</v>
      </c>
      <c r="W683" t="s">
        <v>9792</v>
      </c>
      <c r="X683" t="s">
        <v>9793</v>
      </c>
      <c r="Y683" t="s">
        <v>9794</v>
      </c>
      <c r="Z683" t="s">
        <v>9795</v>
      </c>
      <c r="AA683" t="s">
        <v>74</v>
      </c>
      <c r="AB683" t="s">
        <v>74</v>
      </c>
      <c r="AC683" t="s">
        <v>74</v>
      </c>
      <c r="AD683" t="s">
        <v>74</v>
      </c>
      <c r="AE683" t="s">
        <v>74</v>
      </c>
      <c r="AF683" t="s">
        <v>74</v>
      </c>
      <c r="AG683">
        <v>11</v>
      </c>
      <c r="AH683">
        <v>0</v>
      </c>
      <c r="AI683">
        <v>0</v>
      </c>
      <c r="AJ683">
        <v>0</v>
      </c>
      <c r="AK683">
        <v>1</v>
      </c>
      <c r="AL683" t="s">
        <v>3948</v>
      </c>
      <c r="AM683" t="s">
        <v>87</v>
      </c>
      <c r="AN683" t="s">
        <v>3949</v>
      </c>
      <c r="AO683" t="s">
        <v>74</v>
      </c>
      <c r="AP683" t="s">
        <v>74</v>
      </c>
      <c r="AQ683" t="s">
        <v>74</v>
      </c>
      <c r="AR683" t="s">
        <v>74</v>
      </c>
      <c r="AS683" t="s">
        <v>74</v>
      </c>
      <c r="AT683" t="s">
        <v>74</v>
      </c>
      <c r="AU683">
        <v>2004</v>
      </c>
      <c r="AV683" t="s">
        <v>74</v>
      </c>
      <c r="AW683" t="s">
        <v>74</v>
      </c>
      <c r="AX683" t="s">
        <v>74</v>
      </c>
      <c r="AY683" t="s">
        <v>74</v>
      </c>
      <c r="AZ683" t="s">
        <v>74</v>
      </c>
      <c r="BA683" t="s">
        <v>74</v>
      </c>
      <c r="BB683">
        <v>765</v>
      </c>
      <c r="BC683">
        <v>768</v>
      </c>
      <c r="BD683" t="s">
        <v>74</v>
      </c>
      <c r="BE683" t="s">
        <v>74</v>
      </c>
      <c r="BF683" t="s">
        <v>74</v>
      </c>
      <c r="BG683" t="s">
        <v>74</v>
      </c>
      <c r="BH683" t="s">
        <v>74</v>
      </c>
      <c r="BI683">
        <v>4</v>
      </c>
      <c r="BJ683" t="s">
        <v>9796</v>
      </c>
      <c r="BK683" t="s">
        <v>3955</v>
      </c>
      <c r="BL683" t="s">
        <v>9797</v>
      </c>
      <c r="BM683" t="s">
        <v>9798</v>
      </c>
      <c r="BN683" t="s">
        <v>74</v>
      </c>
      <c r="BO683" t="s">
        <v>74</v>
      </c>
      <c r="BP683" t="s">
        <v>74</v>
      </c>
      <c r="BQ683" t="s">
        <v>74</v>
      </c>
      <c r="BR683" t="s">
        <v>99</v>
      </c>
      <c r="BS683" t="s">
        <v>9799</v>
      </c>
      <c r="BT683" t="str">
        <f>HYPERLINK("https%3A%2F%2Fwww.webofscience.com%2Fwos%2Fwoscc%2Ffull-record%2FWOS:000225736800182","View Full Record in Web of Science")</f>
        <v>View Full Record in Web of Science</v>
      </c>
    </row>
    <row r="684" spans="1:72" x14ac:dyDescent="0.15">
      <c r="A684" t="s">
        <v>72</v>
      </c>
      <c r="B684" t="s">
        <v>9800</v>
      </c>
      <c r="C684" t="s">
        <v>74</v>
      </c>
      <c r="D684" t="s">
        <v>74</v>
      </c>
      <c r="E684" t="s">
        <v>74</v>
      </c>
      <c r="F684" t="s">
        <v>9800</v>
      </c>
      <c r="G684" t="s">
        <v>74</v>
      </c>
      <c r="H684" t="s">
        <v>74</v>
      </c>
      <c r="I684" t="s">
        <v>9801</v>
      </c>
      <c r="J684" t="s">
        <v>9802</v>
      </c>
      <c r="K684" t="s">
        <v>74</v>
      </c>
      <c r="L684" t="s">
        <v>74</v>
      </c>
      <c r="M684" t="s">
        <v>9803</v>
      </c>
      <c r="N684" t="s">
        <v>78</v>
      </c>
      <c r="O684" t="s">
        <v>74</v>
      </c>
      <c r="P684" t="s">
        <v>74</v>
      </c>
      <c r="Q684" t="s">
        <v>74</v>
      </c>
      <c r="R684" t="s">
        <v>74</v>
      </c>
      <c r="S684" t="s">
        <v>74</v>
      </c>
      <c r="T684" t="s">
        <v>9804</v>
      </c>
      <c r="U684" t="s">
        <v>9805</v>
      </c>
      <c r="V684" t="s">
        <v>9806</v>
      </c>
      <c r="W684" t="s">
        <v>9807</v>
      </c>
      <c r="X684" t="s">
        <v>9808</v>
      </c>
      <c r="Y684" t="s">
        <v>9809</v>
      </c>
      <c r="Z684" t="s">
        <v>9810</v>
      </c>
      <c r="AA684" t="s">
        <v>74</v>
      </c>
      <c r="AB684" t="s">
        <v>74</v>
      </c>
      <c r="AC684" t="s">
        <v>74</v>
      </c>
      <c r="AD684" t="s">
        <v>74</v>
      </c>
      <c r="AE684" t="s">
        <v>74</v>
      </c>
      <c r="AF684" t="s">
        <v>74</v>
      </c>
      <c r="AG684">
        <v>34</v>
      </c>
      <c r="AH684">
        <v>5</v>
      </c>
      <c r="AI684">
        <v>9</v>
      </c>
      <c r="AJ684">
        <v>4</v>
      </c>
      <c r="AK684">
        <v>24</v>
      </c>
      <c r="AL684" t="s">
        <v>9811</v>
      </c>
      <c r="AM684" t="s">
        <v>907</v>
      </c>
      <c r="AN684" t="s">
        <v>9812</v>
      </c>
      <c r="AO684" t="s">
        <v>9813</v>
      </c>
      <c r="AP684" t="s">
        <v>74</v>
      </c>
      <c r="AQ684" t="s">
        <v>74</v>
      </c>
      <c r="AR684" t="s">
        <v>9814</v>
      </c>
      <c r="AS684" t="s">
        <v>9815</v>
      </c>
      <c r="AT684" t="s">
        <v>4117</v>
      </c>
      <c r="AU684">
        <v>2004</v>
      </c>
      <c r="AV684">
        <v>16</v>
      </c>
      <c r="AW684">
        <v>1</v>
      </c>
      <c r="AX684" t="s">
        <v>74</v>
      </c>
      <c r="AY684" t="s">
        <v>74</v>
      </c>
      <c r="AZ684" t="s">
        <v>74</v>
      </c>
      <c r="BA684" t="s">
        <v>74</v>
      </c>
      <c r="BB684">
        <v>49</v>
      </c>
      <c r="BC684">
        <v>55</v>
      </c>
      <c r="BD684" t="s">
        <v>74</v>
      </c>
      <c r="BE684" t="s">
        <v>74</v>
      </c>
      <c r="BF684" t="s">
        <v>74</v>
      </c>
      <c r="BG684" t="s">
        <v>74</v>
      </c>
      <c r="BH684" t="s">
        <v>74</v>
      </c>
      <c r="BI684">
        <v>7</v>
      </c>
      <c r="BJ684" t="s">
        <v>4137</v>
      </c>
      <c r="BK684" t="s">
        <v>96</v>
      </c>
      <c r="BL684" t="s">
        <v>2113</v>
      </c>
      <c r="BM684" t="s">
        <v>9816</v>
      </c>
      <c r="BN684" t="s">
        <v>74</v>
      </c>
      <c r="BO684" t="s">
        <v>74</v>
      </c>
      <c r="BP684" t="s">
        <v>74</v>
      </c>
      <c r="BQ684" t="s">
        <v>74</v>
      </c>
      <c r="BR684" t="s">
        <v>99</v>
      </c>
      <c r="BS684" t="s">
        <v>9817</v>
      </c>
      <c r="BT684" t="str">
        <f>HYPERLINK("https%3A%2F%2Fwww.webofscience.com%2Fwos%2Fwoscc%2Ffull-record%2FWOS:000188826100008","View Full Record in Web of Science")</f>
        <v>View Full Record in Web of Science</v>
      </c>
    </row>
    <row r="685" spans="1:72" x14ac:dyDescent="0.15">
      <c r="A685" t="s">
        <v>3934</v>
      </c>
      <c r="B685" t="s">
        <v>9781</v>
      </c>
      <c r="C685" t="s">
        <v>74</v>
      </c>
      <c r="D685" t="s">
        <v>9818</v>
      </c>
      <c r="E685" t="s">
        <v>74</v>
      </c>
      <c r="F685" t="s">
        <v>9781</v>
      </c>
      <c r="G685" t="s">
        <v>74</v>
      </c>
      <c r="H685" t="s">
        <v>74</v>
      </c>
      <c r="I685" t="s">
        <v>9819</v>
      </c>
      <c r="J685" t="s">
        <v>9820</v>
      </c>
      <c r="K685" t="s">
        <v>74</v>
      </c>
      <c r="L685" t="s">
        <v>74</v>
      </c>
      <c r="M685" t="s">
        <v>77</v>
      </c>
      <c r="N685" t="s">
        <v>3940</v>
      </c>
      <c r="O685" t="s">
        <v>9821</v>
      </c>
      <c r="P685" t="s">
        <v>9822</v>
      </c>
      <c r="Q685" t="s">
        <v>9823</v>
      </c>
      <c r="R685" t="s">
        <v>74</v>
      </c>
      <c r="S685" t="s">
        <v>9824</v>
      </c>
      <c r="T685" t="s">
        <v>9789</v>
      </c>
      <c r="U685" t="s">
        <v>9825</v>
      </c>
      <c r="V685" t="s">
        <v>9826</v>
      </c>
      <c r="W685" t="s">
        <v>9827</v>
      </c>
      <c r="X685" t="s">
        <v>9793</v>
      </c>
      <c r="Y685" t="s">
        <v>9828</v>
      </c>
      <c r="Z685" t="s">
        <v>74</v>
      </c>
      <c r="AA685" t="s">
        <v>74</v>
      </c>
      <c r="AB685" t="s">
        <v>74</v>
      </c>
      <c r="AC685" t="s">
        <v>74</v>
      </c>
      <c r="AD685" t="s">
        <v>74</v>
      </c>
      <c r="AE685" t="s">
        <v>74</v>
      </c>
      <c r="AF685" t="s">
        <v>74</v>
      </c>
      <c r="AG685">
        <v>13</v>
      </c>
      <c r="AH685">
        <v>0</v>
      </c>
      <c r="AI685">
        <v>0</v>
      </c>
      <c r="AJ685">
        <v>0</v>
      </c>
      <c r="AK685">
        <v>0</v>
      </c>
      <c r="AL685" t="s">
        <v>906</v>
      </c>
      <c r="AM685" t="s">
        <v>9829</v>
      </c>
      <c r="AN685" t="s">
        <v>9830</v>
      </c>
      <c r="AO685" t="s">
        <v>74</v>
      </c>
      <c r="AP685" t="s">
        <v>74</v>
      </c>
      <c r="AQ685" t="s">
        <v>9831</v>
      </c>
      <c r="AR685" t="s">
        <v>74</v>
      </c>
      <c r="AS685" t="s">
        <v>74</v>
      </c>
      <c r="AT685" t="s">
        <v>74</v>
      </c>
      <c r="AU685">
        <v>2004</v>
      </c>
      <c r="AV685" t="s">
        <v>74</v>
      </c>
      <c r="AW685" t="s">
        <v>74</v>
      </c>
      <c r="AX685" t="s">
        <v>74</v>
      </c>
      <c r="AY685" t="s">
        <v>74</v>
      </c>
      <c r="AZ685" t="s">
        <v>74</v>
      </c>
      <c r="BA685" t="s">
        <v>74</v>
      </c>
      <c r="BB685">
        <v>227</v>
      </c>
      <c r="BC685">
        <v>232</v>
      </c>
      <c r="BD685" t="s">
        <v>74</v>
      </c>
      <c r="BE685" t="s">
        <v>74</v>
      </c>
      <c r="BF685" t="s">
        <v>74</v>
      </c>
      <c r="BG685" t="s">
        <v>74</v>
      </c>
      <c r="BH685" t="s">
        <v>74</v>
      </c>
      <c r="BI685">
        <v>6</v>
      </c>
      <c r="BJ685" t="s">
        <v>9832</v>
      </c>
      <c r="BK685" t="s">
        <v>3955</v>
      </c>
      <c r="BL685" t="s">
        <v>1626</v>
      </c>
      <c r="BM685" t="s">
        <v>9833</v>
      </c>
      <c r="BN685" t="s">
        <v>74</v>
      </c>
      <c r="BO685" t="s">
        <v>74</v>
      </c>
      <c r="BP685" t="s">
        <v>74</v>
      </c>
      <c r="BQ685" t="s">
        <v>74</v>
      </c>
      <c r="BR685" t="s">
        <v>99</v>
      </c>
      <c r="BS685" t="s">
        <v>9834</v>
      </c>
      <c r="BT685" t="str">
        <f>HYPERLINK("https%3A%2F%2Fwww.webofscience.com%2Fwos%2Fwoscc%2Ffull-record%2FWOS:000223170000039","View Full Record in Web of Science")</f>
        <v>View Full Record in Web of Science</v>
      </c>
    </row>
    <row r="686" spans="1:72" x14ac:dyDescent="0.15">
      <c r="A686" t="s">
        <v>72</v>
      </c>
      <c r="B686" t="s">
        <v>9835</v>
      </c>
      <c r="C686" t="s">
        <v>74</v>
      </c>
      <c r="D686" t="s">
        <v>74</v>
      </c>
      <c r="E686" t="s">
        <v>74</v>
      </c>
      <c r="F686" t="s">
        <v>9835</v>
      </c>
      <c r="G686" t="s">
        <v>74</v>
      </c>
      <c r="H686" t="s">
        <v>74</v>
      </c>
      <c r="I686" t="s">
        <v>9836</v>
      </c>
      <c r="J686" t="s">
        <v>9837</v>
      </c>
      <c r="K686" t="s">
        <v>74</v>
      </c>
      <c r="L686" t="s">
        <v>74</v>
      </c>
      <c r="M686" t="s">
        <v>77</v>
      </c>
      <c r="N686" t="s">
        <v>268</v>
      </c>
      <c r="O686" t="s">
        <v>74</v>
      </c>
      <c r="P686" t="s">
        <v>74</v>
      </c>
      <c r="Q686" t="s">
        <v>74</v>
      </c>
      <c r="R686" t="s">
        <v>74</v>
      </c>
      <c r="S686" t="s">
        <v>74</v>
      </c>
      <c r="T686" t="s">
        <v>9838</v>
      </c>
      <c r="U686" t="s">
        <v>9839</v>
      </c>
      <c r="V686" t="s">
        <v>9840</v>
      </c>
      <c r="W686" t="s">
        <v>9841</v>
      </c>
      <c r="X686" t="s">
        <v>9842</v>
      </c>
      <c r="Y686" t="s">
        <v>9843</v>
      </c>
      <c r="Z686" t="s">
        <v>9844</v>
      </c>
      <c r="AA686" t="s">
        <v>9845</v>
      </c>
      <c r="AB686" t="s">
        <v>9846</v>
      </c>
      <c r="AC686" t="s">
        <v>74</v>
      </c>
      <c r="AD686" t="s">
        <v>74</v>
      </c>
      <c r="AE686" t="s">
        <v>74</v>
      </c>
      <c r="AF686" t="s">
        <v>74</v>
      </c>
      <c r="AG686">
        <v>107</v>
      </c>
      <c r="AH686">
        <v>214</v>
      </c>
      <c r="AI686">
        <v>232</v>
      </c>
      <c r="AJ686">
        <v>2</v>
      </c>
      <c r="AK686">
        <v>49</v>
      </c>
      <c r="AL686" t="s">
        <v>213</v>
      </c>
      <c r="AM686" t="s">
        <v>214</v>
      </c>
      <c r="AN686" t="s">
        <v>215</v>
      </c>
      <c r="AO686" t="s">
        <v>9847</v>
      </c>
      <c r="AP686" t="s">
        <v>74</v>
      </c>
      <c r="AQ686" t="s">
        <v>74</v>
      </c>
      <c r="AR686" t="s">
        <v>9848</v>
      </c>
      <c r="AS686" t="s">
        <v>9849</v>
      </c>
      <c r="AT686" t="s">
        <v>74</v>
      </c>
      <c r="AU686">
        <v>2004</v>
      </c>
      <c r="AV686">
        <v>60</v>
      </c>
      <c r="AW686">
        <v>1</v>
      </c>
      <c r="AX686" t="s">
        <v>74</v>
      </c>
      <c r="AY686" t="s">
        <v>74</v>
      </c>
      <c r="AZ686" t="s">
        <v>74</v>
      </c>
      <c r="BA686" t="s">
        <v>74</v>
      </c>
      <c r="BB686">
        <v>47</v>
      </c>
      <c r="BC686">
        <v>98</v>
      </c>
      <c r="BD686" t="s">
        <v>74</v>
      </c>
      <c r="BE686" t="s">
        <v>9850</v>
      </c>
      <c r="BF686" t="str">
        <f>HYPERLINK("http://dx.doi.org/10.1016/j.pocean.2003.12.002","http://dx.doi.org/10.1016/j.pocean.2003.12.002")</f>
        <v>http://dx.doi.org/10.1016/j.pocean.2003.12.002</v>
      </c>
      <c r="BG686" t="s">
        <v>74</v>
      </c>
      <c r="BH686" t="s">
        <v>74</v>
      </c>
      <c r="BI686">
        <v>52</v>
      </c>
      <c r="BJ686" t="s">
        <v>477</v>
      </c>
      <c r="BK686" t="s">
        <v>96</v>
      </c>
      <c r="BL686" t="s">
        <v>477</v>
      </c>
      <c r="BM686" t="s">
        <v>9851</v>
      </c>
      <c r="BN686" t="s">
        <v>74</v>
      </c>
      <c r="BO686" t="s">
        <v>74</v>
      </c>
      <c r="BP686" t="s">
        <v>74</v>
      </c>
      <c r="BQ686" t="s">
        <v>74</v>
      </c>
      <c r="BR686" t="s">
        <v>99</v>
      </c>
      <c r="BS686" t="s">
        <v>9852</v>
      </c>
      <c r="BT686" t="str">
        <f>HYPERLINK("https%3A%2F%2Fwww.webofscience.com%2Fwos%2Fwoscc%2Ffull-record%2FWOS:000220767000003","View Full Record in Web of Science")</f>
        <v>View Full Record in Web of Science</v>
      </c>
    </row>
    <row r="687" spans="1:72" x14ac:dyDescent="0.15">
      <c r="A687" t="s">
        <v>72</v>
      </c>
      <c r="B687" t="s">
        <v>9853</v>
      </c>
      <c r="C687" t="s">
        <v>74</v>
      </c>
      <c r="D687" t="s">
        <v>74</v>
      </c>
      <c r="E687" t="s">
        <v>74</v>
      </c>
      <c r="F687" t="s">
        <v>9853</v>
      </c>
      <c r="G687" t="s">
        <v>74</v>
      </c>
      <c r="H687" t="s">
        <v>74</v>
      </c>
      <c r="I687" t="s">
        <v>9854</v>
      </c>
      <c r="J687" t="s">
        <v>9855</v>
      </c>
      <c r="K687" t="s">
        <v>74</v>
      </c>
      <c r="L687" t="s">
        <v>74</v>
      </c>
      <c r="M687" t="s">
        <v>77</v>
      </c>
      <c r="N687" t="s">
        <v>78</v>
      </c>
      <c r="O687" t="s">
        <v>74</v>
      </c>
      <c r="P687" t="s">
        <v>74</v>
      </c>
      <c r="Q687" t="s">
        <v>74</v>
      </c>
      <c r="R687" t="s">
        <v>74</v>
      </c>
      <c r="S687" t="s">
        <v>74</v>
      </c>
      <c r="T687" t="s">
        <v>9856</v>
      </c>
      <c r="U687" t="s">
        <v>9857</v>
      </c>
      <c r="V687" t="s">
        <v>9858</v>
      </c>
      <c r="W687" t="s">
        <v>9859</v>
      </c>
      <c r="X687" t="s">
        <v>9860</v>
      </c>
      <c r="Y687" t="s">
        <v>74</v>
      </c>
      <c r="Z687" t="s">
        <v>9861</v>
      </c>
      <c r="AA687" t="s">
        <v>74</v>
      </c>
      <c r="AB687" t="s">
        <v>74</v>
      </c>
      <c r="AC687" t="s">
        <v>74</v>
      </c>
      <c r="AD687" t="s">
        <v>74</v>
      </c>
      <c r="AE687" t="s">
        <v>74</v>
      </c>
      <c r="AF687" t="s">
        <v>74</v>
      </c>
      <c r="AG687">
        <v>33</v>
      </c>
      <c r="AH687">
        <v>28</v>
      </c>
      <c r="AI687">
        <v>31</v>
      </c>
      <c r="AJ687">
        <v>3</v>
      </c>
      <c r="AK687">
        <v>29</v>
      </c>
      <c r="AL687" t="s">
        <v>1451</v>
      </c>
      <c r="AM687" t="s">
        <v>1452</v>
      </c>
      <c r="AN687" t="s">
        <v>1453</v>
      </c>
      <c r="AO687" t="s">
        <v>9862</v>
      </c>
      <c r="AP687" t="s">
        <v>9863</v>
      </c>
      <c r="AQ687" t="s">
        <v>74</v>
      </c>
      <c r="AR687" t="s">
        <v>9864</v>
      </c>
      <c r="AS687" t="s">
        <v>9865</v>
      </c>
      <c r="AT687" t="s">
        <v>4117</v>
      </c>
      <c r="AU687">
        <v>2004</v>
      </c>
      <c r="AV687">
        <v>33</v>
      </c>
      <c r="AW687">
        <v>1</v>
      </c>
      <c r="AX687" t="s">
        <v>74</v>
      </c>
      <c r="AY687" t="s">
        <v>74</v>
      </c>
      <c r="AZ687" t="s">
        <v>74</v>
      </c>
      <c r="BA687" t="s">
        <v>74</v>
      </c>
      <c r="BB687">
        <v>110</v>
      </c>
      <c r="BC687">
        <v>122</v>
      </c>
      <c r="BD687" t="s">
        <v>74</v>
      </c>
      <c r="BE687" t="s">
        <v>9866</v>
      </c>
      <c r="BF687" t="str">
        <f>HYPERLINK("http://dx.doi.org/10.1016/j.pep.2003.09.012","http://dx.doi.org/10.1016/j.pep.2003.09.012")</f>
        <v>http://dx.doi.org/10.1016/j.pep.2003.09.012</v>
      </c>
      <c r="BG687" t="s">
        <v>74</v>
      </c>
      <c r="BH687" t="s">
        <v>74</v>
      </c>
      <c r="BI687">
        <v>13</v>
      </c>
      <c r="BJ687" t="s">
        <v>9867</v>
      </c>
      <c r="BK687" t="s">
        <v>96</v>
      </c>
      <c r="BL687" t="s">
        <v>9868</v>
      </c>
      <c r="BM687" t="s">
        <v>9869</v>
      </c>
      <c r="BN687">
        <v>14680968</v>
      </c>
      <c r="BO687" t="s">
        <v>74</v>
      </c>
      <c r="BP687" t="s">
        <v>74</v>
      </c>
      <c r="BQ687" t="s">
        <v>74</v>
      </c>
      <c r="BR687" t="s">
        <v>99</v>
      </c>
      <c r="BS687" t="s">
        <v>9870</v>
      </c>
      <c r="BT687" t="str">
        <f>HYPERLINK("https%3A%2F%2Fwww.webofscience.com%2Fwos%2Fwoscc%2Ffull-record%2FWOS:000187587500014","View Full Record in Web of Science")</f>
        <v>View Full Record in Web of Science</v>
      </c>
    </row>
    <row r="688" spans="1:72" x14ac:dyDescent="0.15">
      <c r="A688" t="s">
        <v>72</v>
      </c>
      <c r="B688" t="s">
        <v>9871</v>
      </c>
      <c r="C688" t="s">
        <v>74</v>
      </c>
      <c r="D688" t="s">
        <v>74</v>
      </c>
      <c r="E688" t="s">
        <v>74</v>
      </c>
      <c r="F688" t="s">
        <v>9871</v>
      </c>
      <c r="G688" t="s">
        <v>74</v>
      </c>
      <c r="H688" t="s">
        <v>74</v>
      </c>
      <c r="I688" t="s">
        <v>9872</v>
      </c>
      <c r="J688" t="s">
        <v>9873</v>
      </c>
      <c r="K688" t="s">
        <v>74</v>
      </c>
      <c r="L688" t="s">
        <v>74</v>
      </c>
      <c r="M688" t="s">
        <v>77</v>
      </c>
      <c r="N688" t="s">
        <v>268</v>
      </c>
      <c r="O688" t="s">
        <v>74</v>
      </c>
      <c r="P688" t="s">
        <v>74</v>
      </c>
      <c r="Q688" t="s">
        <v>74</v>
      </c>
      <c r="R688" t="s">
        <v>74</v>
      </c>
      <c r="S688" t="s">
        <v>74</v>
      </c>
      <c r="T688" t="s">
        <v>74</v>
      </c>
      <c r="U688" t="s">
        <v>74</v>
      </c>
      <c r="V688" t="s">
        <v>9874</v>
      </c>
      <c r="W688" t="s">
        <v>9875</v>
      </c>
      <c r="X688" t="s">
        <v>9876</v>
      </c>
      <c r="Y688" t="s">
        <v>9877</v>
      </c>
      <c r="Z688" t="s">
        <v>9878</v>
      </c>
      <c r="AA688" t="s">
        <v>74</v>
      </c>
      <c r="AB688" t="s">
        <v>74</v>
      </c>
      <c r="AC688" t="s">
        <v>74</v>
      </c>
      <c r="AD688" t="s">
        <v>74</v>
      </c>
      <c r="AE688" t="s">
        <v>74</v>
      </c>
      <c r="AF688" t="s">
        <v>74</v>
      </c>
      <c r="AG688">
        <v>146</v>
      </c>
      <c r="AH688">
        <v>5</v>
      </c>
      <c r="AI688">
        <v>6</v>
      </c>
      <c r="AJ688">
        <v>0</v>
      </c>
      <c r="AK688">
        <v>10</v>
      </c>
      <c r="AL688" t="s">
        <v>1416</v>
      </c>
      <c r="AM688" t="s">
        <v>1417</v>
      </c>
      <c r="AN688" t="s">
        <v>1418</v>
      </c>
      <c r="AO688" t="s">
        <v>9879</v>
      </c>
      <c r="AP688" t="s">
        <v>74</v>
      </c>
      <c r="AQ688" t="s">
        <v>74</v>
      </c>
      <c r="AR688" t="s">
        <v>9880</v>
      </c>
      <c r="AS688" t="s">
        <v>9881</v>
      </c>
      <c r="AT688" t="s">
        <v>4117</v>
      </c>
      <c r="AU688">
        <v>2004</v>
      </c>
      <c r="AV688">
        <v>13</v>
      </c>
      <c r="AW688">
        <v>1</v>
      </c>
      <c r="AX688" t="s">
        <v>74</v>
      </c>
      <c r="AY688" t="s">
        <v>74</v>
      </c>
      <c r="AZ688" t="s">
        <v>74</v>
      </c>
      <c r="BA688" t="s">
        <v>74</v>
      </c>
      <c r="BB688">
        <v>31</v>
      </c>
      <c r="BC688">
        <v>53</v>
      </c>
      <c r="BD688" t="s">
        <v>74</v>
      </c>
      <c r="BE688" t="s">
        <v>9882</v>
      </c>
      <c r="BF688" t="str">
        <f>HYPERLINK("http://dx.doi.org/10.1177/0963662504042689","http://dx.doi.org/10.1177/0963662504042689")</f>
        <v>http://dx.doi.org/10.1177/0963662504042689</v>
      </c>
      <c r="BG688" t="s">
        <v>74</v>
      </c>
      <c r="BH688" t="s">
        <v>74</v>
      </c>
      <c r="BI688">
        <v>23</v>
      </c>
      <c r="BJ688" t="s">
        <v>9883</v>
      </c>
      <c r="BK688" t="s">
        <v>9884</v>
      </c>
      <c r="BL688" t="s">
        <v>9885</v>
      </c>
      <c r="BM688" t="s">
        <v>9886</v>
      </c>
      <c r="BN688" t="s">
        <v>74</v>
      </c>
      <c r="BO688" t="s">
        <v>74</v>
      </c>
      <c r="BP688" t="s">
        <v>74</v>
      </c>
      <c r="BQ688" t="s">
        <v>74</v>
      </c>
      <c r="BR688" t="s">
        <v>99</v>
      </c>
      <c r="BS688" t="s">
        <v>9887</v>
      </c>
      <c r="BT688" t="str">
        <f>HYPERLINK("https%3A%2F%2Fwww.webofscience.com%2Fwos%2Fwoscc%2Ffull-record%2FWOS:000221338100003","View Full Record in Web of Science")</f>
        <v>View Full Record in Web of Science</v>
      </c>
    </row>
    <row r="689" spans="1:72" x14ac:dyDescent="0.15">
      <c r="A689" t="s">
        <v>72</v>
      </c>
      <c r="B689" t="s">
        <v>9888</v>
      </c>
      <c r="C689" t="s">
        <v>74</v>
      </c>
      <c r="D689" t="s">
        <v>74</v>
      </c>
      <c r="E689" t="s">
        <v>74</v>
      </c>
      <c r="F689" t="s">
        <v>9888</v>
      </c>
      <c r="G689" t="s">
        <v>74</v>
      </c>
      <c r="H689" t="s">
        <v>74</v>
      </c>
      <c r="I689" t="s">
        <v>9889</v>
      </c>
      <c r="J689" t="s">
        <v>9890</v>
      </c>
      <c r="K689" t="s">
        <v>74</v>
      </c>
      <c r="L689" t="s">
        <v>74</v>
      </c>
      <c r="M689" t="s">
        <v>77</v>
      </c>
      <c r="N689" t="s">
        <v>78</v>
      </c>
      <c r="O689" t="s">
        <v>74</v>
      </c>
      <c r="P689" t="s">
        <v>74</v>
      </c>
      <c r="Q689" t="s">
        <v>74</v>
      </c>
      <c r="R689" t="s">
        <v>74</v>
      </c>
      <c r="S689" t="s">
        <v>74</v>
      </c>
      <c r="T689" t="s">
        <v>9891</v>
      </c>
      <c r="U689" t="s">
        <v>9892</v>
      </c>
      <c r="V689" t="s">
        <v>9893</v>
      </c>
      <c r="W689" t="s">
        <v>9894</v>
      </c>
      <c r="X689" t="s">
        <v>9895</v>
      </c>
      <c r="Y689" t="s">
        <v>9896</v>
      </c>
      <c r="Z689" t="s">
        <v>9897</v>
      </c>
      <c r="AA689" t="s">
        <v>9898</v>
      </c>
      <c r="AB689" t="s">
        <v>9899</v>
      </c>
      <c r="AC689" t="s">
        <v>74</v>
      </c>
      <c r="AD689" t="s">
        <v>74</v>
      </c>
      <c r="AE689" t="s">
        <v>74</v>
      </c>
      <c r="AF689" t="s">
        <v>74</v>
      </c>
      <c r="AG689">
        <v>26</v>
      </c>
      <c r="AH689">
        <v>31</v>
      </c>
      <c r="AI689">
        <v>33</v>
      </c>
      <c r="AJ689">
        <v>0</v>
      </c>
      <c r="AK689">
        <v>4</v>
      </c>
      <c r="AL689" t="s">
        <v>5554</v>
      </c>
      <c r="AM689" t="s">
        <v>7062</v>
      </c>
      <c r="AN689" t="s">
        <v>7063</v>
      </c>
      <c r="AO689" t="s">
        <v>9900</v>
      </c>
      <c r="AP689" t="s">
        <v>74</v>
      </c>
      <c r="AQ689" t="s">
        <v>74</v>
      </c>
      <c r="AR689" t="s">
        <v>9901</v>
      </c>
      <c r="AS689" t="s">
        <v>9902</v>
      </c>
      <c r="AT689" t="s">
        <v>74</v>
      </c>
      <c r="AU689">
        <v>2004</v>
      </c>
      <c r="AV689">
        <v>21</v>
      </c>
      <c r="AW689">
        <v>3</v>
      </c>
      <c r="AX689" t="s">
        <v>74</v>
      </c>
      <c r="AY689" t="s">
        <v>74</v>
      </c>
      <c r="AZ689" t="s">
        <v>74</v>
      </c>
      <c r="BA689" t="s">
        <v>74</v>
      </c>
      <c r="BB689">
        <v>256</v>
      </c>
      <c r="BC689">
        <v>263</v>
      </c>
      <c r="BD689" t="s">
        <v>74</v>
      </c>
      <c r="BE689" t="s">
        <v>9903</v>
      </c>
      <c r="BF689" t="str">
        <f>HYPERLINK("http://dx.doi.org/10.1071/AS03018","http://dx.doi.org/10.1071/AS03018")</f>
        <v>http://dx.doi.org/10.1071/AS03018</v>
      </c>
      <c r="BG689" t="s">
        <v>74</v>
      </c>
      <c r="BH689" t="s">
        <v>74</v>
      </c>
      <c r="BI689">
        <v>8</v>
      </c>
      <c r="BJ689" t="s">
        <v>395</v>
      </c>
      <c r="BK689" t="s">
        <v>96</v>
      </c>
      <c r="BL689" t="s">
        <v>395</v>
      </c>
      <c r="BM689" t="s">
        <v>9904</v>
      </c>
      <c r="BN689" t="s">
        <v>74</v>
      </c>
      <c r="BO689" t="s">
        <v>541</v>
      </c>
      <c r="BP689" t="s">
        <v>74</v>
      </c>
      <c r="BQ689" t="s">
        <v>74</v>
      </c>
      <c r="BR689" t="s">
        <v>99</v>
      </c>
      <c r="BS689" t="s">
        <v>9905</v>
      </c>
      <c r="BT689" t="str">
        <f>HYPERLINK("https%3A%2F%2Fwww.webofscience.com%2Fwos%2Fwoscc%2Ffull-record%2FWOS:000223679100003","View Full Record in Web of Science")</f>
        <v>View Full Record in Web of Science</v>
      </c>
    </row>
    <row r="690" spans="1:72" x14ac:dyDescent="0.15">
      <c r="A690" t="s">
        <v>72</v>
      </c>
      <c r="B690" t="s">
        <v>9906</v>
      </c>
      <c r="C690" t="s">
        <v>74</v>
      </c>
      <c r="D690" t="s">
        <v>74</v>
      </c>
      <c r="E690" t="s">
        <v>74</v>
      </c>
      <c r="F690" t="s">
        <v>9906</v>
      </c>
      <c r="G690" t="s">
        <v>74</v>
      </c>
      <c r="H690" t="s">
        <v>74</v>
      </c>
      <c r="I690" t="s">
        <v>9907</v>
      </c>
      <c r="J690" t="s">
        <v>9890</v>
      </c>
      <c r="K690" t="s">
        <v>74</v>
      </c>
      <c r="L690" t="s">
        <v>74</v>
      </c>
      <c r="M690" t="s">
        <v>77</v>
      </c>
      <c r="N690" t="s">
        <v>78</v>
      </c>
      <c r="O690" t="s">
        <v>74</v>
      </c>
      <c r="P690" t="s">
        <v>74</v>
      </c>
      <c r="Q690" t="s">
        <v>74</v>
      </c>
      <c r="R690" t="s">
        <v>74</v>
      </c>
      <c r="S690" t="s">
        <v>74</v>
      </c>
      <c r="T690" t="s">
        <v>9908</v>
      </c>
      <c r="U690" t="s">
        <v>9909</v>
      </c>
      <c r="V690" t="s">
        <v>9910</v>
      </c>
      <c r="W690" t="s">
        <v>9911</v>
      </c>
      <c r="X690" t="s">
        <v>9912</v>
      </c>
      <c r="Y690" t="s">
        <v>9913</v>
      </c>
      <c r="Z690" t="s">
        <v>9914</v>
      </c>
      <c r="AA690" t="s">
        <v>74</v>
      </c>
      <c r="AB690" t="s">
        <v>9915</v>
      </c>
      <c r="AC690" t="s">
        <v>74</v>
      </c>
      <c r="AD690" t="s">
        <v>74</v>
      </c>
      <c r="AE690" t="s">
        <v>74</v>
      </c>
      <c r="AF690" t="s">
        <v>74</v>
      </c>
      <c r="AG690">
        <v>18</v>
      </c>
      <c r="AH690">
        <v>2</v>
      </c>
      <c r="AI690">
        <v>2</v>
      </c>
      <c r="AJ690">
        <v>0</v>
      </c>
      <c r="AK690">
        <v>1</v>
      </c>
      <c r="AL690" t="s">
        <v>8414</v>
      </c>
      <c r="AM690" t="s">
        <v>7062</v>
      </c>
      <c r="AN690" t="s">
        <v>7063</v>
      </c>
      <c r="AO690" t="s">
        <v>9900</v>
      </c>
      <c r="AP690" t="s">
        <v>74</v>
      </c>
      <c r="AQ690" t="s">
        <v>74</v>
      </c>
      <c r="AR690" t="s">
        <v>9901</v>
      </c>
      <c r="AS690" t="s">
        <v>9902</v>
      </c>
      <c r="AT690" t="s">
        <v>74</v>
      </c>
      <c r="AU690">
        <v>2004</v>
      </c>
      <c r="AV690">
        <v>21</v>
      </c>
      <c r="AW690">
        <v>3</v>
      </c>
      <c r="AX690" t="s">
        <v>74</v>
      </c>
      <c r="AY690" t="s">
        <v>74</v>
      </c>
      <c r="AZ690" t="s">
        <v>74</v>
      </c>
      <c r="BA690" t="s">
        <v>74</v>
      </c>
      <c r="BB690">
        <v>284</v>
      </c>
      <c r="BC690">
        <v>289</v>
      </c>
      <c r="BD690" t="s">
        <v>74</v>
      </c>
      <c r="BE690" t="s">
        <v>9916</v>
      </c>
      <c r="BF690" t="str">
        <f>HYPERLINK("http://dx.doi.org/10.1071/AS03015","http://dx.doi.org/10.1071/AS03015")</f>
        <v>http://dx.doi.org/10.1071/AS03015</v>
      </c>
      <c r="BG690" t="s">
        <v>74</v>
      </c>
      <c r="BH690" t="s">
        <v>74</v>
      </c>
      <c r="BI690">
        <v>6</v>
      </c>
      <c r="BJ690" t="s">
        <v>395</v>
      </c>
      <c r="BK690" t="s">
        <v>96</v>
      </c>
      <c r="BL690" t="s">
        <v>395</v>
      </c>
      <c r="BM690" t="s">
        <v>9904</v>
      </c>
      <c r="BN690" t="s">
        <v>74</v>
      </c>
      <c r="BO690" t="s">
        <v>541</v>
      </c>
      <c r="BP690" t="s">
        <v>74</v>
      </c>
      <c r="BQ690" t="s">
        <v>74</v>
      </c>
      <c r="BR690" t="s">
        <v>99</v>
      </c>
      <c r="BS690" t="s">
        <v>9917</v>
      </c>
      <c r="BT690" t="str">
        <f>HYPERLINK("https%3A%2F%2Fwww.webofscience.com%2Fwos%2Fwoscc%2Ffull-record%2FWOS:000223679100006","View Full Record in Web of Science")</f>
        <v>View Full Record in Web of Science</v>
      </c>
    </row>
    <row r="691" spans="1:72" x14ac:dyDescent="0.15">
      <c r="A691" t="s">
        <v>3934</v>
      </c>
      <c r="B691" t="s">
        <v>9918</v>
      </c>
      <c r="C691" t="s">
        <v>74</v>
      </c>
      <c r="D691" t="s">
        <v>9919</v>
      </c>
      <c r="E691" t="s">
        <v>74</v>
      </c>
      <c r="F691" t="s">
        <v>9920</v>
      </c>
      <c r="G691" t="s">
        <v>74</v>
      </c>
      <c r="H691" t="s">
        <v>74</v>
      </c>
      <c r="I691" t="s">
        <v>9921</v>
      </c>
      <c r="J691" t="s">
        <v>9922</v>
      </c>
      <c r="K691" t="s">
        <v>74</v>
      </c>
      <c r="L691" t="s">
        <v>74</v>
      </c>
      <c r="M691" t="s">
        <v>77</v>
      </c>
      <c r="N691" t="s">
        <v>3940</v>
      </c>
      <c r="O691" t="s">
        <v>9923</v>
      </c>
      <c r="P691">
        <v>2004</v>
      </c>
      <c r="Q691" t="s">
        <v>9924</v>
      </c>
      <c r="R691" t="s">
        <v>74</v>
      </c>
      <c r="S691" t="s">
        <v>74</v>
      </c>
      <c r="T691" t="s">
        <v>74</v>
      </c>
      <c r="U691" t="s">
        <v>74</v>
      </c>
      <c r="V691" t="s">
        <v>9925</v>
      </c>
      <c r="W691" t="s">
        <v>9926</v>
      </c>
      <c r="X691" t="s">
        <v>74</v>
      </c>
      <c r="Y691" t="s">
        <v>9927</v>
      </c>
      <c r="Z691" t="s">
        <v>9928</v>
      </c>
      <c r="AA691" t="s">
        <v>74</v>
      </c>
      <c r="AB691" t="s">
        <v>74</v>
      </c>
      <c r="AC691" t="s">
        <v>74</v>
      </c>
      <c r="AD691" t="s">
        <v>74</v>
      </c>
      <c r="AE691" t="s">
        <v>74</v>
      </c>
      <c r="AF691" t="s">
        <v>74</v>
      </c>
      <c r="AG691">
        <v>0</v>
      </c>
      <c r="AH691">
        <v>0</v>
      </c>
      <c r="AI691">
        <v>0</v>
      </c>
      <c r="AJ691">
        <v>0</v>
      </c>
      <c r="AK691">
        <v>2</v>
      </c>
      <c r="AL691" t="s">
        <v>9929</v>
      </c>
      <c r="AM691" t="s">
        <v>9930</v>
      </c>
      <c r="AN691" t="s">
        <v>9931</v>
      </c>
      <c r="AO691" t="s">
        <v>74</v>
      </c>
      <c r="AP691" t="s">
        <v>74</v>
      </c>
      <c r="AQ691" t="s">
        <v>9932</v>
      </c>
      <c r="AR691" t="s">
        <v>74</v>
      </c>
      <c r="AS691" t="s">
        <v>74</v>
      </c>
      <c r="AT691" t="s">
        <v>74</v>
      </c>
      <c r="AU691">
        <v>2004</v>
      </c>
      <c r="AV691" t="s">
        <v>74</v>
      </c>
      <c r="AW691" t="s">
        <v>74</v>
      </c>
      <c r="AX691" t="s">
        <v>74</v>
      </c>
      <c r="AY691" t="s">
        <v>74</v>
      </c>
      <c r="AZ691" t="s">
        <v>74</v>
      </c>
      <c r="BA691" t="s">
        <v>74</v>
      </c>
      <c r="BB691">
        <v>175</v>
      </c>
      <c r="BC691">
        <v>176</v>
      </c>
      <c r="BD691" t="s">
        <v>74</v>
      </c>
      <c r="BE691" t="s">
        <v>74</v>
      </c>
      <c r="BF691" t="s">
        <v>74</v>
      </c>
      <c r="BG691" t="s">
        <v>74</v>
      </c>
      <c r="BH691" t="s">
        <v>74</v>
      </c>
      <c r="BI691">
        <v>2</v>
      </c>
      <c r="BJ691" t="s">
        <v>1473</v>
      </c>
      <c r="BK691" t="s">
        <v>3955</v>
      </c>
      <c r="BL691" t="s">
        <v>1474</v>
      </c>
      <c r="BM691" t="s">
        <v>9933</v>
      </c>
      <c r="BN691" t="s">
        <v>74</v>
      </c>
      <c r="BO691" t="s">
        <v>74</v>
      </c>
      <c r="BP691" t="s">
        <v>74</v>
      </c>
      <c r="BQ691" t="s">
        <v>74</v>
      </c>
      <c r="BR691" t="s">
        <v>99</v>
      </c>
      <c r="BS691" t="s">
        <v>9934</v>
      </c>
      <c r="BT691" t="str">
        <f>HYPERLINK("https%3A%2F%2Fwww.webofscience.com%2Fwos%2Fwoscc%2Ffull-record%2FWOS:000272191600017","View Full Record in Web of Science")</f>
        <v>View Full Record in Web of Science</v>
      </c>
    </row>
    <row r="692" spans="1:72" x14ac:dyDescent="0.15">
      <c r="A692" t="s">
        <v>72</v>
      </c>
      <c r="B692" t="s">
        <v>9935</v>
      </c>
      <c r="C692" t="s">
        <v>74</v>
      </c>
      <c r="D692" t="s">
        <v>74</v>
      </c>
      <c r="E692" t="s">
        <v>74</v>
      </c>
      <c r="F692" t="s">
        <v>9935</v>
      </c>
      <c r="G692" t="s">
        <v>74</v>
      </c>
      <c r="H692" t="s">
        <v>74</v>
      </c>
      <c r="I692" t="s">
        <v>9936</v>
      </c>
      <c r="J692" t="s">
        <v>9937</v>
      </c>
      <c r="K692" t="s">
        <v>74</v>
      </c>
      <c r="L692" t="s">
        <v>74</v>
      </c>
      <c r="M692" t="s">
        <v>77</v>
      </c>
      <c r="N692" t="s">
        <v>268</v>
      </c>
      <c r="O692" t="s">
        <v>74</v>
      </c>
      <c r="P692" t="s">
        <v>74</v>
      </c>
      <c r="Q692" t="s">
        <v>74</v>
      </c>
      <c r="R692" t="s">
        <v>74</v>
      </c>
      <c r="S692" t="s">
        <v>74</v>
      </c>
      <c r="T692" t="s">
        <v>74</v>
      </c>
      <c r="U692" t="s">
        <v>9938</v>
      </c>
      <c r="V692" t="s">
        <v>9939</v>
      </c>
      <c r="W692" t="s">
        <v>9940</v>
      </c>
      <c r="X692" t="s">
        <v>9941</v>
      </c>
      <c r="Y692" t="s">
        <v>9942</v>
      </c>
      <c r="Z692" t="s">
        <v>9943</v>
      </c>
      <c r="AA692" t="s">
        <v>9944</v>
      </c>
      <c r="AB692" t="s">
        <v>9945</v>
      </c>
      <c r="AC692" t="s">
        <v>74</v>
      </c>
      <c r="AD692" t="s">
        <v>74</v>
      </c>
      <c r="AE692" t="s">
        <v>74</v>
      </c>
      <c r="AF692" t="s">
        <v>74</v>
      </c>
      <c r="AG692">
        <v>195</v>
      </c>
      <c r="AH692">
        <v>177</v>
      </c>
      <c r="AI692">
        <v>191</v>
      </c>
      <c r="AJ692">
        <v>0</v>
      </c>
      <c r="AK692">
        <v>35</v>
      </c>
      <c r="AL692" t="s">
        <v>213</v>
      </c>
      <c r="AM692" t="s">
        <v>214</v>
      </c>
      <c r="AN692" t="s">
        <v>215</v>
      </c>
      <c r="AO692" t="s">
        <v>9946</v>
      </c>
      <c r="AP692" t="s">
        <v>9947</v>
      </c>
      <c r="AQ692" t="s">
        <v>74</v>
      </c>
      <c r="AR692" t="s">
        <v>9948</v>
      </c>
      <c r="AS692" t="s">
        <v>9949</v>
      </c>
      <c r="AT692" t="s">
        <v>74</v>
      </c>
      <c r="AU692">
        <v>2004</v>
      </c>
      <c r="AV692">
        <v>118</v>
      </c>
      <c r="AW692" t="s">
        <v>74</v>
      </c>
      <c r="AX692" t="s">
        <v>74</v>
      </c>
      <c r="AY692" t="s">
        <v>74</v>
      </c>
      <c r="AZ692" t="s">
        <v>74</v>
      </c>
      <c r="BA692" t="s">
        <v>74</v>
      </c>
      <c r="BB692">
        <v>23</v>
      </c>
      <c r="BC692">
        <v>53</v>
      </c>
      <c r="BD692" t="s">
        <v>74</v>
      </c>
      <c r="BE692" t="s">
        <v>9950</v>
      </c>
      <c r="BF692" t="str">
        <f>HYPERLINK("http://dx.doi.org/10.1016/S1040-6182(03)00129-0","http://dx.doi.org/10.1016/S1040-6182(03)00129-0")</f>
        <v>http://dx.doi.org/10.1016/S1040-6182(03)00129-0</v>
      </c>
      <c r="BG692" t="s">
        <v>74</v>
      </c>
      <c r="BH692" t="s">
        <v>74</v>
      </c>
      <c r="BI692">
        <v>31</v>
      </c>
      <c r="BJ692" t="s">
        <v>1400</v>
      </c>
      <c r="BK692" t="s">
        <v>96</v>
      </c>
      <c r="BL692" t="s">
        <v>1401</v>
      </c>
      <c r="BM692" t="s">
        <v>9951</v>
      </c>
      <c r="BN692" t="s">
        <v>74</v>
      </c>
      <c r="BO692" t="s">
        <v>74</v>
      </c>
      <c r="BP692" t="s">
        <v>74</v>
      </c>
      <c r="BQ692" t="s">
        <v>74</v>
      </c>
      <c r="BR692" t="s">
        <v>99</v>
      </c>
      <c r="BS692" t="s">
        <v>9952</v>
      </c>
      <c r="BT692" t="str">
        <f>HYPERLINK("https%3A%2F%2Fwww.webofscience.com%2Fwos%2Fwoscc%2Ffull-record%2FWOS:000221857500004","View Full Record in Web of Science")</f>
        <v>View Full Record in Web of Science</v>
      </c>
    </row>
    <row r="693" spans="1:72" x14ac:dyDescent="0.15">
      <c r="A693" t="s">
        <v>72</v>
      </c>
      <c r="B693" t="s">
        <v>9953</v>
      </c>
      <c r="C693" t="s">
        <v>74</v>
      </c>
      <c r="D693" t="s">
        <v>74</v>
      </c>
      <c r="E693" t="s">
        <v>74</v>
      </c>
      <c r="F693" t="s">
        <v>9953</v>
      </c>
      <c r="G693" t="s">
        <v>74</v>
      </c>
      <c r="H693" t="s">
        <v>74</v>
      </c>
      <c r="I693" t="s">
        <v>9954</v>
      </c>
      <c r="J693" t="s">
        <v>9937</v>
      </c>
      <c r="K693" t="s">
        <v>74</v>
      </c>
      <c r="L693" t="s">
        <v>74</v>
      </c>
      <c r="M693" t="s">
        <v>77</v>
      </c>
      <c r="N693" t="s">
        <v>311</v>
      </c>
      <c r="O693" t="s">
        <v>9955</v>
      </c>
      <c r="P693" t="s">
        <v>9956</v>
      </c>
      <c r="Q693" t="s">
        <v>9957</v>
      </c>
      <c r="R693" t="s">
        <v>74</v>
      </c>
      <c r="S693" t="s">
        <v>9958</v>
      </c>
      <c r="T693" t="s">
        <v>74</v>
      </c>
      <c r="U693" t="s">
        <v>9959</v>
      </c>
      <c r="V693" t="s">
        <v>9960</v>
      </c>
      <c r="W693" t="s">
        <v>9961</v>
      </c>
      <c r="X693" t="s">
        <v>9962</v>
      </c>
      <c r="Y693" t="s">
        <v>9963</v>
      </c>
      <c r="Z693" t="s">
        <v>9964</v>
      </c>
      <c r="AA693" t="s">
        <v>9965</v>
      </c>
      <c r="AB693" t="s">
        <v>74</v>
      </c>
      <c r="AC693" t="s">
        <v>74</v>
      </c>
      <c r="AD693" t="s">
        <v>74</v>
      </c>
      <c r="AE693" t="s">
        <v>74</v>
      </c>
      <c r="AF693" t="s">
        <v>74</v>
      </c>
      <c r="AG693">
        <v>56</v>
      </c>
      <c r="AH693">
        <v>225</v>
      </c>
      <c r="AI693">
        <v>292</v>
      </c>
      <c r="AJ693">
        <v>11</v>
      </c>
      <c r="AK693">
        <v>95</v>
      </c>
      <c r="AL693" t="s">
        <v>213</v>
      </c>
      <c r="AM693" t="s">
        <v>214</v>
      </c>
      <c r="AN693" t="s">
        <v>215</v>
      </c>
      <c r="AO693" t="s">
        <v>9946</v>
      </c>
      <c r="AP693" t="s">
        <v>74</v>
      </c>
      <c r="AQ693" t="s">
        <v>74</v>
      </c>
      <c r="AR693" t="s">
        <v>9948</v>
      </c>
      <c r="AS693" t="s">
        <v>9949</v>
      </c>
      <c r="AT693" t="s">
        <v>74</v>
      </c>
      <c r="AU693">
        <v>2004</v>
      </c>
      <c r="AV693">
        <v>117</v>
      </c>
      <c r="AW693" t="s">
        <v>74</v>
      </c>
      <c r="AX693" t="s">
        <v>74</v>
      </c>
      <c r="AY693" t="s">
        <v>74</v>
      </c>
      <c r="AZ693" t="s">
        <v>74</v>
      </c>
      <c r="BA693" t="s">
        <v>74</v>
      </c>
      <c r="BB693">
        <v>55</v>
      </c>
      <c r="BC693">
        <v>67</v>
      </c>
      <c r="BD693" t="s">
        <v>74</v>
      </c>
      <c r="BE693" t="s">
        <v>9966</v>
      </c>
      <c r="BF693" t="str">
        <f>HYPERLINK("http://dx.doi.org/10.1016/S1040-6182(03)00116-2","http://dx.doi.org/10.1016/S1040-6182(03)00116-2")</f>
        <v>http://dx.doi.org/10.1016/S1040-6182(03)00116-2</v>
      </c>
      <c r="BG693" t="s">
        <v>74</v>
      </c>
      <c r="BH693" t="s">
        <v>74</v>
      </c>
      <c r="BI693">
        <v>13</v>
      </c>
      <c r="BJ693" t="s">
        <v>1400</v>
      </c>
      <c r="BK693" t="s">
        <v>1116</v>
      </c>
      <c r="BL693" t="s">
        <v>1401</v>
      </c>
      <c r="BM693" t="s">
        <v>9967</v>
      </c>
      <c r="BN693" t="s">
        <v>74</v>
      </c>
      <c r="BO693" t="s">
        <v>74</v>
      </c>
      <c r="BP693" t="s">
        <v>74</v>
      </c>
      <c r="BQ693" t="s">
        <v>74</v>
      </c>
      <c r="BR693" t="s">
        <v>99</v>
      </c>
      <c r="BS693" t="s">
        <v>9968</v>
      </c>
      <c r="BT693" t="str">
        <f>HYPERLINK("https%3A%2F%2Fwww.webofscience.com%2Fwos%2Fwoscc%2Ffull-record%2FWOS:000221857400008","View Full Record in Web of Science")</f>
        <v>View Full Record in Web of Science</v>
      </c>
    </row>
    <row r="694" spans="1:72" x14ac:dyDescent="0.15">
      <c r="A694" t="s">
        <v>72</v>
      </c>
      <c r="B694" t="s">
        <v>9969</v>
      </c>
      <c r="C694" t="s">
        <v>74</v>
      </c>
      <c r="D694" t="s">
        <v>74</v>
      </c>
      <c r="E694" t="s">
        <v>74</v>
      </c>
      <c r="F694" t="s">
        <v>9969</v>
      </c>
      <c r="G694" t="s">
        <v>74</v>
      </c>
      <c r="H694" t="s">
        <v>74</v>
      </c>
      <c r="I694" t="s">
        <v>9970</v>
      </c>
      <c r="J694" t="s">
        <v>9971</v>
      </c>
      <c r="K694" t="s">
        <v>74</v>
      </c>
      <c r="L694" t="s">
        <v>74</v>
      </c>
      <c r="M694" t="s">
        <v>77</v>
      </c>
      <c r="N694" t="s">
        <v>78</v>
      </c>
      <c r="O694" t="s">
        <v>74</v>
      </c>
      <c r="P694" t="s">
        <v>74</v>
      </c>
      <c r="Q694" t="s">
        <v>74</v>
      </c>
      <c r="R694" t="s">
        <v>74</v>
      </c>
      <c r="S694" t="s">
        <v>74</v>
      </c>
      <c r="T694" t="s">
        <v>74</v>
      </c>
      <c r="U694" t="s">
        <v>9972</v>
      </c>
      <c r="V694" t="s">
        <v>9973</v>
      </c>
      <c r="W694" t="s">
        <v>9974</v>
      </c>
      <c r="X694" t="s">
        <v>9975</v>
      </c>
      <c r="Y694" t="s">
        <v>9976</v>
      </c>
      <c r="Z694" t="s">
        <v>9977</v>
      </c>
      <c r="AA694" t="s">
        <v>9978</v>
      </c>
      <c r="AB694" t="s">
        <v>9979</v>
      </c>
      <c r="AC694" t="s">
        <v>74</v>
      </c>
      <c r="AD694" t="s">
        <v>74</v>
      </c>
      <c r="AE694" t="s">
        <v>74</v>
      </c>
      <c r="AF694" t="s">
        <v>74</v>
      </c>
      <c r="AG694">
        <v>23</v>
      </c>
      <c r="AH694">
        <v>41</v>
      </c>
      <c r="AI694">
        <v>44</v>
      </c>
      <c r="AJ694">
        <v>0</v>
      </c>
      <c r="AK694">
        <v>13</v>
      </c>
      <c r="AL694" t="s">
        <v>213</v>
      </c>
      <c r="AM694" t="s">
        <v>214</v>
      </c>
      <c r="AN694" t="s">
        <v>215</v>
      </c>
      <c r="AO694" t="s">
        <v>9980</v>
      </c>
      <c r="AP694" t="s">
        <v>74</v>
      </c>
      <c r="AQ694" t="s">
        <v>74</v>
      </c>
      <c r="AR694" t="s">
        <v>9981</v>
      </c>
      <c r="AS694" t="s">
        <v>9982</v>
      </c>
      <c r="AT694" t="s">
        <v>4117</v>
      </c>
      <c r="AU694">
        <v>2004</v>
      </c>
      <c r="AV694">
        <v>23</v>
      </c>
      <c r="AW694" t="s">
        <v>536</v>
      </c>
      <c r="AX694" t="s">
        <v>74</v>
      </c>
      <c r="AY694" t="s">
        <v>74</v>
      </c>
      <c r="AZ694" t="s">
        <v>74</v>
      </c>
      <c r="BA694" t="s">
        <v>74</v>
      </c>
      <c r="BB694">
        <v>7</v>
      </c>
      <c r="BC694">
        <v>15</v>
      </c>
      <c r="BD694" t="s">
        <v>74</v>
      </c>
      <c r="BE694" t="s">
        <v>9983</v>
      </c>
      <c r="BF694" t="str">
        <f>HYPERLINK("http://dx.doi.org/10.1016/j.quascirev.2003.09.004","http://dx.doi.org/10.1016/j.quascirev.2003.09.004")</f>
        <v>http://dx.doi.org/10.1016/j.quascirev.2003.09.004</v>
      </c>
      <c r="BG694" t="s">
        <v>74</v>
      </c>
      <c r="BH694" t="s">
        <v>74</v>
      </c>
      <c r="BI694">
        <v>9</v>
      </c>
      <c r="BJ694" t="s">
        <v>1400</v>
      </c>
      <c r="BK694" t="s">
        <v>96</v>
      </c>
      <c r="BL694" t="s">
        <v>1401</v>
      </c>
      <c r="BM694" t="s">
        <v>9984</v>
      </c>
      <c r="BN694" t="s">
        <v>74</v>
      </c>
      <c r="BO694" t="s">
        <v>74</v>
      </c>
      <c r="BP694" t="s">
        <v>74</v>
      </c>
      <c r="BQ694" t="s">
        <v>74</v>
      </c>
      <c r="BR694" t="s">
        <v>99</v>
      </c>
      <c r="BS694" t="s">
        <v>9985</v>
      </c>
      <c r="BT694" t="str">
        <f>HYPERLINK("https%3A%2F%2Fwww.webofscience.com%2Fwos%2Fwoscc%2Ffull-record%2FWOS:000188385200002","View Full Record in Web of Science")</f>
        <v>View Full Record in Web of Science</v>
      </c>
    </row>
    <row r="695" spans="1:72" x14ac:dyDescent="0.15">
      <c r="A695" t="s">
        <v>72</v>
      </c>
      <c r="B695" t="s">
        <v>9986</v>
      </c>
      <c r="C695" t="s">
        <v>74</v>
      </c>
      <c r="D695" t="s">
        <v>74</v>
      </c>
      <c r="E695" t="s">
        <v>74</v>
      </c>
      <c r="F695" t="s">
        <v>9986</v>
      </c>
      <c r="G695" t="s">
        <v>74</v>
      </c>
      <c r="H695" t="s">
        <v>74</v>
      </c>
      <c r="I695" t="s">
        <v>9987</v>
      </c>
      <c r="J695" t="s">
        <v>9988</v>
      </c>
      <c r="K695" t="s">
        <v>74</v>
      </c>
      <c r="L695" t="s">
        <v>74</v>
      </c>
      <c r="M695" t="s">
        <v>77</v>
      </c>
      <c r="N695" t="s">
        <v>311</v>
      </c>
      <c r="O695" t="s">
        <v>9989</v>
      </c>
      <c r="P695" t="s">
        <v>9990</v>
      </c>
      <c r="Q695" t="s">
        <v>9991</v>
      </c>
      <c r="R695" t="s">
        <v>74</v>
      </c>
      <c r="S695" t="s">
        <v>74</v>
      </c>
      <c r="T695" t="s">
        <v>74</v>
      </c>
      <c r="U695" t="s">
        <v>9992</v>
      </c>
      <c r="V695" t="s">
        <v>9993</v>
      </c>
      <c r="W695" t="s">
        <v>9994</v>
      </c>
      <c r="X695" t="s">
        <v>9995</v>
      </c>
      <c r="Y695" t="s">
        <v>9996</v>
      </c>
      <c r="Z695" t="s">
        <v>9997</v>
      </c>
      <c r="AA695" t="s">
        <v>9998</v>
      </c>
      <c r="AB695" t="s">
        <v>9999</v>
      </c>
      <c r="AC695" t="s">
        <v>74</v>
      </c>
      <c r="AD695" t="s">
        <v>74</v>
      </c>
      <c r="AE695" t="s">
        <v>74</v>
      </c>
      <c r="AF695" t="s">
        <v>74</v>
      </c>
      <c r="AG695">
        <v>18</v>
      </c>
      <c r="AH695">
        <v>29</v>
      </c>
      <c r="AI695">
        <v>32</v>
      </c>
      <c r="AJ695">
        <v>0</v>
      </c>
      <c r="AK695">
        <v>17</v>
      </c>
      <c r="AL695" t="s">
        <v>10000</v>
      </c>
      <c r="AM695" t="s">
        <v>10001</v>
      </c>
      <c r="AN695" t="s">
        <v>10002</v>
      </c>
      <c r="AO695" t="s">
        <v>10003</v>
      </c>
      <c r="AP695" t="s">
        <v>74</v>
      </c>
      <c r="AQ695" t="s">
        <v>74</v>
      </c>
      <c r="AR695" t="s">
        <v>9988</v>
      </c>
      <c r="AS695" t="s">
        <v>10004</v>
      </c>
      <c r="AT695" t="s">
        <v>74</v>
      </c>
      <c r="AU695">
        <v>2004</v>
      </c>
      <c r="AV695">
        <v>46</v>
      </c>
      <c r="AW695">
        <v>2</v>
      </c>
      <c r="AX695" t="s">
        <v>74</v>
      </c>
      <c r="AY695" t="s">
        <v>74</v>
      </c>
      <c r="AZ695" t="s">
        <v>74</v>
      </c>
      <c r="BA695" t="s">
        <v>74</v>
      </c>
      <c r="BB695">
        <v>621</v>
      </c>
      <c r="BC695">
        <v>626</v>
      </c>
      <c r="BD695" t="s">
        <v>74</v>
      </c>
      <c r="BE695" t="s">
        <v>10005</v>
      </c>
      <c r="BF695" t="str">
        <f>HYPERLINK("http://dx.doi.org/10.1017/S0033822200035669","http://dx.doi.org/10.1017/S0033822200035669")</f>
        <v>http://dx.doi.org/10.1017/S0033822200035669</v>
      </c>
      <c r="BG695" t="s">
        <v>74</v>
      </c>
      <c r="BH695" t="s">
        <v>74</v>
      </c>
      <c r="BI695">
        <v>6</v>
      </c>
      <c r="BJ695" t="s">
        <v>262</v>
      </c>
      <c r="BK695" t="s">
        <v>1116</v>
      </c>
      <c r="BL695" t="s">
        <v>262</v>
      </c>
      <c r="BM695" t="s">
        <v>10006</v>
      </c>
      <c r="BN695" t="s">
        <v>74</v>
      </c>
      <c r="BO695" t="s">
        <v>10007</v>
      </c>
      <c r="BP695" t="s">
        <v>74</v>
      </c>
      <c r="BQ695" t="s">
        <v>74</v>
      </c>
      <c r="BR695" t="s">
        <v>99</v>
      </c>
      <c r="BS695" t="s">
        <v>10008</v>
      </c>
      <c r="BT695" t="str">
        <f>HYPERLINK("https%3A%2F%2Fwww.webofscience.com%2Fwos%2Fwoscc%2Ffull-record%2FWOS:000223807300012","View Full Record in Web of Science")</f>
        <v>View Full Record in Web of Science</v>
      </c>
    </row>
    <row r="696" spans="1:72" x14ac:dyDescent="0.15">
      <c r="A696" t="s">
        <v>72</v>
      </c>
      <c r="B696" t="s">
        <v>10009</v>
      </c>
      <c r="C696" t="s">
        <v>74</v>
      </c>
      <c r="D696" t="s">
        <v>74</v>
      </c>
      <c r="E696" t="s">
        <v>74</v>
      </c>
      <c r="F696" t="s">
        <v>10009</v>
      </c>
      <c r="G696" t="s">
        <v>74</v>
      </c>
      <c r="H696" t="s">
        <v>74</v>
      </c>
      <c r="I696" t="s">
        <v>10010</v>
      </c>
      <c r="J696" t="s">
        <v>10011</v>
      </c>
      <c r="K696" t="s">
        <v>74</v>
      </c>
      <c r="L696" t="s">
        <v>74</v>
      </c>
      <c r="M696" t="s">
        <v>77</v>
      </c>
      <c r="N696" t="s">
        <v>78</v>
      </c>
      <c r="O696" t="s">
        <v>74</v>
      </c>
      <c r="P696" t="s">
        <v>74</v>
      </c>
      <c r="Q696" t="s">
        <v>74</v>
      </c>
      <c r="R696" t="s">
        <v>74</v>
      </c>
      <c r="S696" t="s">
        <v>74</v>
      </c>
      <c r="T696" t="s">
        <v>74</v>
      </c>
      <c r="U696" t="s">
        <v>10012</v>
      </c>
      <c r="V696" t="s">
        <v>10013</v>
      </c>
      <c r="W696" t="s">
        <v>9287</v>
      </c>
      <c r="X696" t="s">
        <v>9288</v>
      </c>
      <c r="Y696" t="s">
        <v>9289</v>
      </c>
      <c r="Z696" t="s">
        <v>9290</v>
      </c>
      <c r="AA696" t="s">
        <v>10014</v>
      </c>
      <c r="AB696" t="s">
        <v>10015</v>
      </c>
      <c r="AC696" t="s">
        <v>74</v>
      </c>
      <c r="AD696" t="s">
        <v>74</v>
      </c>
      <c r="AE696" t="s">
        <v>74</v>
      </c>
      <c r="AF696" t="s">
        <v>74</v>
      </c>
      <c r="AG696">
        <v>18</v>
      </c>
      <c r="AH696">
        <v>18</v>
      </c>
      <c r="AI696">
        <v>25</v>
      </c>
      <c r="AJ696">
        <v>3</v>
      </c>
      <c r="AK696">
        <v>15</v>
      </c>
      <c r="AL696" t="s">
        <v>198</v>
      </c>
      <c r="AM696" t="s">
        <v>178</v>
      </c>
      <c r="AN696" t="s">
        <v>179</v>
      </c>
      <c r="AO696" t="s">
        <v>10016</v>
      </c>
      <c r="AP696" t="s">
        <v>10017</v>
      </c>
      <c r="AQ696" t="s">
        <v>74</v>
      </c>
      <c r="AR696" t="s">
        <v>10018</v>
      </c>
      <c r="AS696" t="s">
        <v>10019</v>
      </c>
      <c r="AT696" t="s">
        <v>74</v>
      </c>
      <c r="AU696">
        <v>2004</v>
      </c>
      <c r="AV696">
        <v>18</v>
      </c>
      <c r="AW696">
        <v>23</v>
      </c>
      <c r="AX696" t="s">
        <v>74</v>
      </c>
      <c r="AY696" t="s">
        <v>74</v>
      </c>
      <c r="AZ696" t="s">
        <v>74</v>
      </c>
      <c r="BA696" t="s">
        <v>74</v>
      </c>
      <c r="BB696">
        <v>2934</v>
      </c>
      <c r="BC696">
        <v>2938</v>
      </c>
      <c r="BD696" t="s">
        <v>74</v>
      </c>
      <c r="BE696" t="s">
        <v>10020</v>
      </c>
      <c r="BF696" t="str">
        <f>HYPERLINK("http://dx.doi.org/10.1002/rcm.1714","http://dx.doi.org/10.1002/rcm.1714")</f>
        <v>http://dx.doi.org/10.1002/rcm.1714</v>
      </c>
      <c r="BG696" t="s">
        <v>74</v>
      </c>
      <c r="BH696" t="s">
        <v>74</v>
      </c>
      <c r="BI696">
        <v>5</v>
      </c>
      <c r="BJ696" t="s">
        <v>10021</v>
      </c>
      <c r="BK696" t="s">
        <v>96</v>
      </c>
      <c r="BL696" t="s">
        <v>10022</v>
      </c>
      <c r="BM696" t="s">
        <v>10023</v>
      </c>
      <c r="BN696">
        <v>15529415</v>
      </c>
      <c r="BO696" t="s">
        <v>74</v>
      </c>
      <c r="BP696" t="s">
        <v>74</v>
      </c>
      <c r="BQ696" t="s">
        <v>74</v>
      </c>
      <c r="BR696" t="s">
        <v>99</v>
      </c>
      <c r="BS696" t="s">
        <v>10024</v>
      </c>
      <c r="BT696" t="str">
        <f>HYPERLINK("https%3A%2F%2Fwww.webofscience.com%2Fwos%2Fwoscc%2Ffull-record%2FWOS:000225489200020","View Full Record in Web of Science")</f>
        <v>View Full Record in Web of Science</v>
      </c>
    </row>
    <row r="697" spans="1:72" x14ac:dyDescent="0.15">
      <c r="A697" t="s">
        <v>3934</v>
      </c>
      <c r="B697" t="s">
        <v>10025</v>
      </c>
      <c r="C697" t="s">
        <v>74</v>
      </c>
      <c r="D697" t="s">
        <v>10026</v>
      </c>
      <c r="E697" t="s">
        <v>74</v>
      </c>
      <c r="F697" t="s">
        <v>10025</v>
      </c>
      <c r="G697" t="s">
        <v>74</v>
      </c>
      <c r="H697" t="s">
        <v>74</v>
      </c>
      <c r="I697" t="s">
        <v>10027</v>
      </c>
      <c r="J697" t="s">
        <v>10028</v>
      </c>
      <c r="K697" t="s">
        <v>10029</v>
      </c>
      <c r="L697" t="s">
        <v>74</v>
      </c>
      <c r="M697" t="s">
        <v>77</v>
      </c>
      <c r="N697" t="s">
        <v>3940</v>
      </c>
      <c r="O697" t="s">
        <v>10030</v>
      </c>
      <c r="P697" t="s">
        <v>10031</v>
      </c>
      <c r="Q697" t="s">
        <v>10032</v>
      </c>
      <c r="R697" t="s">
        <v>74</v>
      </c>
      <c r="S697" t="s">
        <v>74</v>
      </c>
      <c r="T697" t="s">
        <v>74</v>
      </c>
      <c r="U697" t="s">
        <v>74</v>
      </c>
      <c r="V697" t="s">
        <v>10033</v>
      </c>
      <c r="W697" t="s">
        <v>10034</v>
      </c>
      <c r="X697" t="s">
        <v>10035</v>
      </c>
      <c r="Y697" t="s">
        <v>10036</v>
      </c>
      <c r="Z697" t="s">
        <v>74</v>
      </c>
      <c r="AA697" t="s">
        <v>74</v>
      </c>
      <c r="AB697" t="s">
        <v>74</v>
      </c>
      <c r="AC697" t="s">
        <v>74</v>
      </c>
      <c r="AD697" t="s">
        <v>74</v>
      </c>
      <c r="AE697" t="s">
        <v>74</v>
      </c>
      <c r="AF697" t="s">
        <v>74</v>
      </c>
      <c r="AG697">
        <v>7</v>
      </c>
      <c r="AH697">
        <v>0</v>
      </c>
      <c r="AI697">
        <v>0</v>
      </c>
      <c r="AJ697">
        <v>0</v>
      </c>
      <c r="AK697">
        <v>1</v>
      </c>
      <c r="AL697" t="s">
        <v>10037</v>
      </c>
      <c r="AM697" t="s">
        <v>10038</v>
      </c>
      <c r="AN697" t="s">
        <v>10039</v>
      </c>
      <c r="AO697" t="s">
        <v>74</v>
      </c>
      <c r="AP697" t="s">
        <v>74</v>
      </c>
      <c r="AQ697" t="s">
        <v>10040</v>
      </c>
      <c r="AR697" t="s">
        <v>10041</v>
      </c>
      <c r="AS697" t="s">
        <v>74</v>
      </c>
      <c r="AT697" t="s">
        <v>74</v>
      </c>
      <c r="AU697">
        <v>2004</v>
      </c>
      <c r="AV697">
        <v>13</v>
      </c>
      <c r="AW697" t="s">
        <v>74</v>
      </c>
      <c r="AX697" t="s">
        <v>74</v>
      </c>
      <c r="AY697" t="s">
        <v>74</v>
      </c>
      <c r="AZ697" t="s">
        <v>74</v>
      </c>
      <c r="BA697" t="s">
        <v>74</v>
      </c>
      <c r="BB697">
        <v>353</v>
      </c>
      <c r="BC697">
        <v>358</v>
      </c>
      <c r="BD697" t="s">
        <v>74</v>
      </c>
      <c r="BE697" t="s">
        <v>10042</v>
      </c>
      <c r="BF697" t="str">
        <f>HYPERLINK("http://dx.doi.org/10.1142/9789812702968_0031","http://dx.doi.org/10.1142/9789812702968_0031")</f>
        <v>http://dx.doi.org/10.1142/9789812702968_0031</v>
      </c>
      <c r="BG697" t="s">
        <v>74</v>
      </c>
      <c r="BH697" t="s">
        <v>74</v>
      </c>
      <c r="BI697">
        <v>6</v>
      </c>
      <c r="BJ697" t="s">
        <v>395</v>
      </c>
      <c r="BK697" t="s">
        <v>3955</v>
      </c>
      <c r="BL697" t="s">
        <v>395</v>
      </c>
      <c r="BM697" t="s">
        <v>10043</v>
      </c>
      <c r="BN697" t="s">
        <v>74</v>
      </c>
      <c r="BO697" t="s">
        <v>74</v>
      </c>
      <c r="BP697" t="s">
        <v>74</v>
      </c>
      <c r="BQ697" t="s">
        <v>74</v>
      </c>
      <c r="BR697" t="s">
        <v>99</v>
      </c>
      <c r="BS697" t="s">
        <v>10044</v>
      </c>
      <c r="BT697" t="str">
        <f>HYPERLINK("https%3A%2F%2Fwww.webofscience.com%2Fwos%2Fwoscc%2Ffull-record%2FWOS:000229640100031","View Full Record in Web of Science")</f>
        <v>View Full Record in Web of Science</v>
      </c>
    </row>
    <row r="698" spans="1:72" x14ac:dyDescent="0.15">
      <c r="A698" t="s">
        <v>3934</v>
      </c>
      <c r="B698" t="s">
        <v>10045</v>
      </c>
      <c r="C698" t="s">
        <v>74</v>
      </c>
      <c r="D698" t="s">
        <v>10046</v>
      </c>
      <c r="E698" t="s">
        <v>74</v>
      </c>
      <c r="F698" t="s">
        <v>10045</v>
      </c>
      <c r="G698" t="s">
        <v>74</v>
      </c>
      <c r="H698" t="s">
        <v>74</v>
      </c>
      <c r="I698" t="s">
        <v>10047</v>
      </c>
      <c r="J698" t="s">
        <v>10048</v>
      </c>
      <c r="K698" t="s">
        <v>7533</v>
      </c>
      <c r="L698" t="s">
        <v>74</v>
      </c>
      <c r="M698" t="s">
        <v>77</v>
      </c>
      <c r="N698" t="s">
        <v>3940</v>
      </c>
      <c r="O698" t="s">
        <v>10049</v>
      </c>
      <c r="P698" t="s">
        <v>10050</v>
      </c>
      <c r="Q698" t="s">
        <v>10051</v>
      </c>
      <c r="R698" t="s">
        <v>74</v>
      </c>
      <c r="S698" t="s">
        <v>74</v>
      </c>
      <c r="T698" t="s">
        <v>10052</v>
      </c>
      <c r="U698" t="s">
        <v>74</v>
      </c>
      <c r="V698" t="s">
        <v>10053</v>
      </c>
      <c r="W698" t="s">
        <v>10054</v>
      </c>
      <c r="X698" t="s">
        <v>10055</v>
      </c>
      <c r="Y698" t="s">
        <v>10056</v>
      </c>
      <c r="Z698" t="s">
        <v>10057</v>
      </c>
      <c r="AA698" t="s">
        <v>74</v>
      </c>
      <c r="AB698" t="s">
        <v>74</v>
      </c>
      <c r="AC698" t="s">
        <v>74</v>
      </c>
      <c r="AD698" t="s">
        <v>74</v>
      </c>
      <c r="AE698" t="s">
        <v>74</v>
      </c>
      <c r="AF698" t="s">
        <v>74</v>
      </c>
      <c r="AG698">
        <v>13</v>
      </c>
      <c r="AH698">
        <v>0</v>
      </c>
      <c r="AI698">
        <v>0</v>
      </c>
      <c r="AJ698">
        <v>0</v>
      </c>
      <c r="AK698">
        <v>6</v>
      </c>
      <c r="AL698" t="s">
        <v>7542</v>
      </c>
      <c r="AM698" t="s">
        <v>7543</v>
      </c>
      <c r="AN698" t="s">
        <v>7544</v>
      </c>
      <c r="AO698" t="s">
        <v>7545</v>
      </c>
      <c r="AP698" t="s">
        <v>7546</v>
      </c>
      <c r="AQ698" t="s">
        <v>10058</v>
      </c>
      <c r="AR698" t="s">
        <v>7548</v>
      </c>
      <c r="AS698" t="s">
        <v>74</v>
      </c>
      <c r="AT698" t="s">
        <v>74</v>
      </c>
      <c r="AU698">
        <v>2004</v>
      </c>
      <c r="AV698">
        <v>5239</v>
      </c>
      <c r="AW698" t="s">
        <v>74</v>
      </c>
      <c r="AX698" t="s">
        <v>74</v>
      </c>
      <c r="AY698" t="s">
        <v>74</v>
      </c>
      <c r="AZ698" t="s">
        <v>74</v>
      </c>
      <c r="BA698" t="s">
        <v>74</v>
      </c>
      <c r="BB698">
        <v>514</v>
      </c>
      <c r="BC698">
        <v>521</v>
      </c>
      <c r="BD698" t="s">
        <v>74</v>
      </c>
      <c r="BE698" t="s">
        <v>10059</v>
      </c>
      <c r="BF698" t="str">
        <f>HYPERLINK("http://dx.doi.org/10.1117/12.514161","http://dx.doi.org/10.1117/12.514161")</f>
        <v>http://dx.doi.org/10.1117/12.514161</v>
      </c>
      <c r="BG698" t="s">
        <v>74</v>
      </c>
      <c r="BH698" t="s">
        <v>74</v>
      </c>
      <c r="BI698">
        <v>8</v>
      </c>
      <c r="BJ698" t="s">
        <v>10060</v>
      </c>
      <c r="BK698" t="s">
        <v>3955</v>
      </c>
      <c r="BL698" t="s">
        <v>10061</v>
      </c>
      <c r="BM698" t="s">
        <v>10062</v>
      </c>
      <c r="BN698" t="s">
        <v>74</v>
      </c>
      <c r="BO698" t="s">
        <v>74</v>
      </c>
      <c r="BP698" t="s">
        <v>74</v>
      </c>
      <c r="BQ698" t="s">
        <v>74</v>
      </c>
      <c r="BR698" t="s">
        <v>99</v>
      </c>
      <c r="BS698" t="s">
        <v>10063</v>
      </c>
      <c r="BT698" t="str">
        <f>HYPERLINK("https%3A%2F%2Fwww.webofscience.com%2Fwos%2Fwoscc%2Ffull-record%2FWOS:000189459900053","View Full Record in Web of Science")</f>
        <v>View Full Record in Web of Science</v>
      </c>
    </row>
    <row r="699" spans="1:72" x14ac:dyDescent="0.15">
      <c r="A699" t="s">
        <v>3934</v>
      </c>
      <c r="B699" t="s">
        <v>10064</v>
      </c>
      <c r="C699" t="s">
        <v>74</v>
      </c>
      <c r="D699" t="s">
        <v>10065</v>
      </c>
      <c r="E699" t="s">
        <v>74</v>
      </c>
      <c r="F699" t="s">
        <v>10064</v>
      </c>
      <c r="G699" t="s">
        <v>74</v>
      </c>
      <c r="H699" t="s">
        <v>74</v>
      </c>
      <c r="I699" t="s">
        <v>10066</v>
      </c>
      <c r="J699" t="s">
        <v>10067</v>
      </c>
      <c r="K699" t="s">
        <v>74</v>
      </c>
      <c r="L699" t="s">
        <v>74</v>
      </c>
      <c r="M699" t="s">
        <v>77</v>
      </c>
      <c r="N699" t="s">
        <v>3940</v>
      </c>
      <c r="O699" t="s">
        <v>10068</v>
      </c>
      <c r="P699" t="s">
        <v>10069</v>
      </c>
      <c r="Q699" t="s">
        <v>10070</v>
      </c>
      <c r="R699" t="s">
        <v>74</v>
      </c>
      <c r="S699" t="s">
        <v>10071</v>
      </c>
      <c r="T699" t="s">
        <v>10072</v>
      </c>
      <c r="U699" t="s">
        <v>10073</v>
      </c>
      <c r="V699" t="s">
        <v>10074</v>
      </c>
      <c r="W699" t="s">
        <v>10075</v>
      </c>
      <c r="X699" t="s">
        <v>10076</v>
      </c>
      <c r="Y699" t="s">
        <v>10077</v>
      </c>
      <c r="Z699" t="s">
        <v>74</v>
      </c>
      <c r="AA699" t="s">
        <v>10078</v>
      </c>
      <c r="AB699" t="s">
        <v>74</v>
      </c>
      <c r="AC699" t="s">
        <v>74</v>
      </c>
      <c r="AD699" t="s">
        <v>74</v>
      </c>
      <c r="AE699" t="s">
        <v>74</v>
      </c>
      <c r="AF699" t="s">
        <v>74</v>
      </c>
      <c r="AG699">
        <v>4</v>
      </c>
      <c r="AH699">
        <v>0</v>
      </c>
      <c r="AI699">
        <v>0</v>
      </c>
      <c r="AJ699">
        <v>0</v>
      </c>
      <c r="AK699">
        <v>1</v>
      </c>
      <c r="AL699" t="s">
        <v>10079</v>
      </c>
      <c r="AM699" t="s">
        <v>10080</v>
      </c>
      <c r="AN699" t="s">
        <v>10081</v>
      </c>
      <c r="AO699" t="s">
        <v>74</v>
      </c>
      <c r="AP699" t="s">
        <v>74</v>
      </c>
      <c r="AQ699" t="s">
        <v>10082</v>
      </c>
      <c r="AR699" t="s">
        <v>74</v>
      </c>
      <c r="AS699" t="s">
        <v>74</v>
      </c>
      <c r="AT699" t="s">
        <v>74</v>
      </c>
      <c r="AU699">
        <v>2004</v>
      </c>
      <c r="AV699" t="s">
        <v>74</v>
      </c>
      <c r="AW699" t="s">
        <v>74</v>
      </c>
      <c r="AX699" t="s">
        <v>74</v>
      </c>
      <c r="AY699" t="s">
        <v>74</v>
      </c>
      <c r="AZ699" t="s">
        <v>74</v>
      </c>
      <c r="BA699" t="s">
        <v>74</v>
      </c>
      <c r="BB699">
        <v>31</v>
      </c>
      <c r="BC699">
        <v>35</v>
      </c>
      <c r="BD699" t="s">
        <v>74</v>
      </c>
      <c r="BE699" t="s">
        <v>74</v>
      </c>
      <c r="BF699" t="s">
        <v>74</v>
      </c>
      <c r="BG699" t="s">
        <v>74</v>
      </c>
      <c r="BH699" t="s">
        <v>74</v>
      </c>
      <c r="BI699">
        <v>5</v>
      </c>
      <c r="BJ699" t="s">
        <v>10083</v>
      </c>
      <c r="BK699" t="s">
        <v>3955</v>
      </c>
      <c r="BL699" t="s">
        <v>10083</v>
      </c>
      <c r="BM699" t="s">
        <v>10084</v>
      </c>
      <c r="BN699" t="s">
        <v>74</v>
      </c>
      <c r="BO699" t="s">
        <v>74</v>
      </c>
      <c r="BP699" t="s">
        <v>74</v>
      </c>
      <c r="BQ699" t="s">
        <v>74</v>
      </c>
      <c r="BR699" t="s">
        <v>99</v>
      </c>
      <c r="BS699" t="s">
        <v>10085</v>
      </c>
      <c r="BT699" t="str">
        <f>HYPERLINK("https%3A%2F%2Fwww.webofscience.com%2Fwos%2Fwoscc%2Ffull-record%2FWOS:000189495100006","View Full Record in Web of Science")</f>
        <v>View Full Record in Web of Science</v>
      </c>
    </row>
    <row r="700" spans="1:72" x14ac:dyDescent="0.15">
      <c r="A700" t="s">
        <v>3934</v>
      </c>
      <c r="B700" t="s">
        <v>10086</v>
      </c>
      <c r="C700" t="s">
        <v>74</v>
      </c>
      <c r="D700" t="s">
        <v>10087</v>
      </c>
      <c r="E700" t="s">
        <v>74</v>
      </c>
      <c r="F700" t="s">
        <v>10086</v>
      </c>
      <c r="G700" t="s">
        <v>74</v>
      </c>
      <c r="H700" t="s">
        <v>74</v>
      </c>
      <c r="I700" t="s">
        <v>10088</v>
      </c>
      <c r="J700" t="s">
        <v>10089</v>
      </c>
      <c r="K700" t="s">
        <v>7533</v>
      </c>
      <c r="L700" t="s">
        <v>74</v>
      </c>
      <c r="M700" t="s">
        <v>77</v>
      </c>
      <c r="N700" t="s">
        <v>3940</v>
      </c>
      <c r="O700" t="s">
        <v>10090</v>
      </c>
      <c r="P700" t="s">
        <v>10091</v>
      </c>
      <c r="Q700" t="s">
        <v>10092</v>
      </c>
      <c r="R700" t="s">
        <v>74</v>
      </c>
      <c r="S700" t="s">
        <v>74</v>
      </c>
      <c r="T700" t="s">
        <v>10093</v>
      </c>
      <c r="U700" t="s">
        <v>10094</v>
      </c>
      <c r="V700" t="s">
        <v>10095</v>
      </c>
      <c r="W700" t="s">
        <v>10096</v>
      </c>
      <c r="X700" t="s">
        <v>10097</v>
      </c>
      <c r="Y700" t="s">
        <v>10098</v>
      </c>
      <c r="Z700" t="s">
        <v>74</v>
      </c>
      <c r="AA700" t="s">
        <v>10099</v>
      </c>
      <c r="AB700" t="s">
        <v>10100</v>
      </c>
      <c r="AC700" t="s">
        <v>74</v>
      </c>
      <c r="AD700" t="s">
        <v>74</v>
      </c>
      <c r="AE700" t="s">
        <v>74</v>
      </c>
      <c r="AF700" t="s">
        <v>74</v>
      </c>
      <c r="AG700">
        <v>8</v>
      </c>
      <c r="AH700">
        <v>2</v>
      </c>
      <c r="AI700">
        <v>2</v>
      </c>
      <c r="AJ700">
        <v>1</v>
      </c>
      <c r="AK700">
        <v>3</v>
      </c>
      <c r="AL700" t="s">
        <v>7542</v>
      </c>
      <c r="AM700" t="s">
        <v>7543</v>
      </c>
      <c r="AN700" t="s">
        <v>7544</v>
      </c>
      <c r="AO700" t="s">
        <v>7545</v>
      </c>
      <c r="AP700" t="s">
        <v>74</v>
      </c>
      <c r="AQ700" t="s">
        <v>10101</v>
      </c>
      <c r="AR700" t="s">
        <v>7548</v>
      </c>
      <c r="AS700" t="s">
        <v>74</v>
      </c>
      <c r="AT700" t="s">
        <v>74</v>
      </c>
      <c r="AU700">
        <v>2004</v>
      </c>
      <c r="AV700">
        <v>5571</v>
      </c>
      <c r="AW700" t="s">
        <v>74</v>
      </c>
      <c r="AX700" t="s">
        <v>74</v>
      </c>
      <c r="AY700" t="s">
        <v>74</v>
      </c>
      <c r="AZ700" t="s">
        <v>74</v>
      </c>
      <c r="BA700" t="s">
        <v>74</v>
      </c>
      <c r="BB700">
        <v>293</v>
      </c>
      <c r="BC700">
        <v>300</v>
      </c>
      <c r="BD700" t="s">
        <v>74</v>
      </c>
      <c r="BE700" t="s">
        <v>10102</v>
      </c>
      <c r="BF700" t="str">
        <f>HYPERLINK("http://dx.doi.org/10.1117/12.568048","http://dx.doi.org/10.1117/12.568048")</f>
        <v>http://dx.doi.org/10.1117/12.568048</v>
      </c>
      <c r="BG700" t="s">
        <v>74</v>
      </c>
      <c r="BH700" t="s">
        <v>74</v>
      </c>
      <c r="BI700">
        <v>8</v>
      </c>
      <c r="BJ700" t="s">
        <v>10083</v>
      </c>
      <c r="BK700" t="s">
        <v>3955</v>
      </c>
      <c r="BL700" t="s">
        <v>10083</v>
      </c>
      <c r="BM700" t="s">
        <v>10103</v>
      </c>
      <c r="BN700" t="s">
        <v>74</v>
      </c>
      <c r="BO700" t="s">
        <v>74</v>
      </c>
      <c r="BP700" t="s">
        <v>74</v>
      </c>
      <c r="BQ700" t="s">
        <v>74</v>
      </c>
      <c r="BR700" t="s">
        <v>99</v>
      </c>
      <c r="BS700" t="s">
        <v>10104</v>
      </c>
      <c r="BT700" t="str">
        <f>HYPERLINK("https%3A%2F%2Fwww.webofscience.com%2Fwos%2Fwoscc%2Ffull-record%2FWOS:000226252700029","View Full Record in Web of Science")</f>
        <v>View Full Record in Web of Science</v>
      </c>
    </row>
    <row r="701" spans="1:72" x14ac:dyDescent="0.15">
      <c r="A701" t="s">
        <v>3934</v>
      </c>
      <c r="B701" t="s">
        <v>10105</v>
      </c>
      <c r="C701" t="s">
        <v>74</v>
      </c>
      <c r="D701" t="s">
        <v>10106</v>
      </c>
      <c r="E701" t="s">
        <v>74</v>
      </c>
      <c r="F701" t="s">
        <v>10105</v>
      </c>
      <c r="G701" t="s">
        <v>74</v>
      </c>
      <c r="H701" t="s">
        <v>74</v>
      </c>
      <c r="I701" t="s">
        <v>10107</v>
      </c>
      <c r="J701" t="s">
        <v>10108</v>
      </c>
      <c r="K701" t="s">
        <v>10109</v>
      </c>
      <c r="L701" t="s">
        <v>74</v>
      </c>
      <c r="M701" t="s">
        <v>77</v>
      </c>
      <c r="N701" t="s">
        <v>3940</v>
      </c>
      <c r="O701" t="s">
        <v>10110</v>
      </c>
      <c r="P701" t="s">
        <v>10111</v>
      </c>
      <c r="Q701" t="s">
        <v>10112</v>
      </c>
      <c r="R701" t="s">
        <v>74</v>
      </c>
      <c r="S701" t="s">
        <v>74</v>
      </c>
      <c r="T701" t="s">
        <v>10113</v>
      </c>
      <c r="U701" t="s">
        <v>74</v>
      </c>
      <c r="V701" t="s">
        <v>10114</v>
      </c>
      <c r="W701" t="s">
        <v>3945</v>
      </c>
      <c r="X701" t="s">
        <v>9091</v>
      </c>
      <c r="Y701" t="s">
        <v>10115</v>
      </c>
      <c r="Z701" t="s">
        <v>74</v>
      </c>
      <c r="AA701" t="s">
        <v>74</v>
      </c>
      <c r="AB701" t="s">
        <v>74</v>
      </c>
      <c r="AC701" t="s">
        <v>74</v>
      </c>
      <c r="AD701" t="s">
        <v>74</v>
      </c>
      <c r="AE701" t="s">
        <v>74</v>
      </c>
      <c r="AF701" t="s">
        <v>74</v>
      </c>
      <c r="AG701">
        <v>5</v>
      </c>
      <c r="AH701">
        <v>8</v>
      </c>
      <c r="AI701">
        <v>8</v>
      </c>
      <c r="AJ701">
        <v>0</v>
      </c>
      <c r="AK701">
        <v>6</v>
      </c>
      <c r="AL701" t="s">
        <v>10116</v>
      </c>
      <c r="AM701" t="s">
        <v>10117</v>
      </c>
      <c r="AN701" t="s">
        <v>10118</v>
      </c>
      <c r="AO701" t="s">
        <v>74</v>
      </c>
      <c r="AP701" t="s">
        <v>74</v>
      </c>
      <c r="AQ701" t="s">
        <v>10119</v>
      </c>
      <c r="AR701" t="s">
        <v>10120</v>
      </c>
      <c r="AS701" t="s">
        <v>74</v>
      </c>
      <c r="AT701" t="s">
        <v>74</v>
      </c>
      <c r="AU701">
        <v>2004</v>
      </c>
      <c r="AV701">
        <v>15</v>
      </c>
      <c r="AW701" t="s">
        <v>74</v>
      </c>
      <c r="AX701" t="s">
        <v>74</v>
      </c>
      <c r="AY701" t="s">
        <v>74</v>
      </c>
      <c r="AZ701" t="s">
        <v>74</v>
      </c>
      <c r="BA701" t="s">
        <v>74</v>
      </c>
      <c r="BB701">
        <v>453</v>
      </c>
      <c r="BC701">
        <v>460</v>
      </c>
      <c r="BD701" t="s">
        <v>74</v>
      </c>
      <c r="BE701" t="s">
        <v>74</v>
      </c>
      <c r="BF701" t="s">
        <v>74</v>
      </c>
      <c r="BG701" t="s">
        <v>74</v>
      </c>
      <c r="BH701" t="s">
        <v>74</v>
      </c>
      <c r="BI701">
        <v>8</v>
      </c>
      <c r="BJ701" t="s">
        <v>10121</v>
      </c>
      <c r="BK701" t="s">
        <v>3955</v>
      </c>
      <c r="BL701" t="s">
        <v>10121</v>
      </c>
      <c r="BM701" t="s">
        <v>10122</v>
      </c>
      <c r="BN701" t="s">
        <v>74</v>
      </c>
      <c r="BO701" t="s">
        <v>74</v>
      </c>
      <c r="BP701" t="s">
        <v>74</v>
      </c>
      <c r="BQ701" t="s">
        <v>74</v>
      </c>
      <c r="BR701" t="s">
        <v>99</v>
      </c>
      <c r="BS701" t="s">
        <v>10123</v>
      </c>
      <c r="BT701" t="str">
        <f>HYPERLINK("https%3A%2F%2Fwww.webofscience.com%2Fwos%2Fwoscc%2Ffull-record%2FWOS:000230416700072","View Full Record in Web of Science")</f>
        <v>View Full Record in Web of Science</v>
      </c>
    </row>
    <row r="702" spans="1:72" x14ac:dyDescent="0.15">
      <c r="A702" t="s">
        <v>3934</v>
      </c>
      <c r="B702" t="s">
        <v>10124</v>
      </c>
      <c r="C702" t="s">
        <v>74</v>
      </c>
      <c r="D702" t="s">
        <v>10125</v>
      </c>
      <c r="E702" t="s">
        <v>74</v>
      </c>
      <c r="F702" t="s">
        <v>10124</v>
      </c>
      <c r="G702" t="s">
        <v>74</v>
      </c>
      <c r="H702" t="s">
        <v>74</v>
      </c>
      <c r="I702" t="s">
        <v>10126</v>
      </c>
      <c r="J702" t="s">
        <v>10127</v>
      </c>
      <c r="K702" t="s">
        <v>10128</v>
      </c>
      <c r="L702" t="s">
        <v>74</v>
      </c>
      <c r="M702" t="s">
        <v>77</v>
      </c>
      <c r="N702" t="s">
        <v>3940</v>
      </c>
      <c r="O702" t="s">
        <v>10129</v>
      </c>
      <c r="P702" t="s">
        <v>10130</v>
      </c>
      <c r="Q702" t="s">
        <v>10131</v>
      </c>
      <c r="R702" t="s">
        <v>74</v>
      </c>
      <c r="S702" t="s">
        <v>10132</v>
      </c>
      <c r="T702" t="s">
        <v>10133</v>
      </c>
      <c r="U702" t="s">
        <v>4731</v>
      </c>
      <c r="V702" t="s">
        <v>10134</v>
      </c>
      <c r="W702" t="s">
        <v>10135</v>
      </c>
      <c r="X702" t="s">
        <v>10136</v>
      </c>
      <c r="Y702" t="s">
        <v>10137</v>
      </c>
      <c r="Z702" t="s">
        <v>10138</v>
      </c>
      <c r="AA702" t="s">
        <v>10139</v>
      </c>
      <c r="AB702" t="s">
        <v>74</v>
      </c>
      <c r="AC702" t="s">
        <v>74</v>
      </c>
      <c r="AD702" t="s">
        <v>74</v>
      </c>
      <c r="AE702" t="s">
        <v>74</v>
      </c>
      <c r="AF702" t="s">
        <v>74</v>
      </c>
      <c r="AG702">
        <v>16</v>
      </c>
      <c r="AH702">
        <v>0</v>
      </c>
      <c r="AI702">
        <v>0</v>
      </c>
      <c r="AJ702">
        <v>0</v>
      </c>
      <c r="AK702">
        <v>2</v>
      </c>
      <c r="AL702" t="s">
        <v>5600</v>
      </c>
      <c r="AM702" t="s">
        <v>5601</v>
      </c>
      <c r="AN702" t="s">
        <v>5602</v>
      </c>
      <c r="AO702" t="s">
        <v>10140</v>
      </c>
      <c r="AP702" t="s">
        <v>74</v>
      </c>
      <c r="AQ702" t="s">
        <v>10141</v>
      </c>
      <c r="AR702" t="s">
        <v>10142</v>
      </c>
      <c r="AS702" t="s">
        <v>74</v>
      </c>
      <c r="AT702" t="s">
        <v>74</v>
      </c>
      <c r="AU702">
        <v>2004</v>
      </c>
      <c r="AV702">
        <v>126</v>
      </c>
      <c r="AW702" t="s">
        <v>74</v>
      </c>
      <c r="AX702" t="s">
        <v>74</v>
      </c>
      <c r="AY702" t="s">
        <v>74</v>
      </c>
      <c r="AZ702" t="s">
        <v>74</v>
      </c>
      <c r="BA702" t="s">
        <v>74</v>
      </c>
      <c r="BB702">
        <v>225</v>
      </c>
      <c r="BC702">
        <v>229</v>
      </c>
      <c r="BD702" t="s">
        <v>74</v>
      </c>
      <c r="BE702" t="s">
        <v>74</v>
      </c>
      <c r="BF702" t="s">
        <v>74</v>
      </c>
      <c r="BG702" t="s">
        <v>74</v>
      </c>
      <c r="BH702" t="s">
        <v>74</v>
      </c>
      <c r="BI702">
        <v>5</v>
      </c>
      <c r="BJ702" t="s">
        <v>10143</v>
      </c>
      <c r="BK702" t="s">
        <v>3955</v>
      </c>
      <c r="BL702" t="s">
        <v>10144</v>
      </c>
      <c r="BM702" t="s">
        <v>10145</v>
      </c>
      <c r="BN702" t="s">
        <v>74</v>
      </c>
      <c r="BO702" t="s">
        <v>74</v>
      </c>
      <c r="BP702" t="s">
        <v>74</v>
      </c>
      <c r="BQ702" t="s">
        <v>74</v>
      </c>
      <c r="BR702" t="s">
        <v>99</v>
      </c>
      <c r="BS702" t="s">
        <v>10146</v>
      </c>
      <c r="BT702" t="str">
        <f>HYPERLINK("https%3A%2F%2Fwww.webofscience.com%2Fwos%2Fwoscc%2Ffull-record%2FWOS:000189441200027","View Full Record in Web of Science")</f>
        <v>View Full Record in Web of Science</v>
      </c>
    </row>
    <row r="703" spans="1:72" x14ac:dyDescent="0.15">
      <c r="A703" t="s">
        <v>497</v>
      </c>
      <c r="B703" t="s">
        <v>10147</v>
      </c>
      <c r="C703" t="s">
        <v>74</v>
      </c>
      <c r="D703" t="s">
        <v>10148</v>
      </c>
      <c r="E703" t="s">
        <v>74</v>
      </c>
      <c r="F703" t="s">
        <v>10147</v>
      </c>
      <c r="G703" t="s">
        <v>74</v>
      </c>
      <c r="H703" t="s">
        <v>74</v>
      </c>
      <c r="I703" t="s">
        <v>10149</v>
      </c>
      <c r="J703" t="s">
        <v>10150</v>
      </c>
      <c r="K703" t="s">
        <v>10151</v>
      </c>
      <c r="L703" t="s">
        <v>74</v>
      </c>
      <c r="M703" t="s">
        <v>77</v>
      </c>
      <c r="N703" t="s">
        <v>311</v>
      </c>
      <c r="O703" t="s">
        <v>10152</v>
      </c>
      <c r="P703" t="s">
        <v>7643</v>
      </c>
      <c r="Q703" t="s">
        <v>10153</v>
      </c>
      <c r="R703" t="s">
        <v>74</v>
      </c>
      <c r="S703" t="s">
        <v>74</v>
      </c>
      <c r="T703" t="s">
        <v>74</v>
      </c>
      <c r="U703" t="s">
        <v>10154</v>
      </c>
      <c r="V703" t="s">
        <v>10155</v>
      </c>
      <c r="W703" t="s">
        <v>10156</v>
      </c>
      <c r="X703" t="s">
        <v>10157</v>
      </c>
      <c r="Y703" t="s">
        <v>10158</v>
      </c>
      <c r="Z703" t="s">
        <v>10159</v>
      </c>
      <c r="AA703" t="s">
        <v>74</v>
      </c>
      <c r="AB703" t="s">
        <v>74</v>
      </c>
      <c r="AC703" t="s">
        <v>74</v>
      </c>
      <c r="AD703" t="s">
        <v>74</v>
      </c>
      <c r="AE703" t="s">
        <v>74</v>
      </c>
      <c r="AF703" t="s">
        <v>74</v>
      </c>
      <c r="AG703">
        <v>11</v>
      </c>
      <c r="AH703">
        <v>4</v>
      </c>
      <c r="AI703">
        <v>4</v>
      </c>
      <c r="AJ703">
        <v>0</v>
      </c>
      <c r="AK703">
        <v>1</v>
      </c>
      <c r="AL703" t="s">
        <v>5600</v>
      </c>
      <c r="AM703" t="s">
        <v>5601</v>
      </c>
      <c r="AN703" t="s">
        <v>5602</v>
      </c>
      <c r="AO703" t="s">
        <v>10160</v>
      </c>
      <c r="AP703" t="s">
        <v>10161</v>
      </c>
      <c r="AQ703" t="s">
        <v>10162</v>
      </c>
      <c r="AR703" t="s">
        <v>10163</v>
      </c>
      <c r="AS703" t="s">
        <v>74</v>
      </c>
      <c r="AT703" t="s">
        <v>74</v>
      </c>
      <c r="AU703">
        <v>2004</v>
      </c>
      <c r="AV703">
        <v>3458</v>
      </c>
      <c r="AW703" t="s">
        <v>74</v>
      </c>
      <c r="AX703" t="s">
        <v>74</v>
      </c>
      <c r="AY703" t="s">
        <v>74</v>
      </c>
      <c r="AZ703" t="s">
        <v>74</v>
      </c>
      <c r="BA703" t="s">
        <v>74</v>
      </c>
      <c r="BB703">
        <v>99</v>
      </c>
      <c r="BC703">
        <v>107</v>
      </c>
      <c r="BD703" t="s">
        <v>74</v>
      </c>
      <c r="BE703" t="s">
        <v>74</v>
      </c>
      <c r="BF703" t="s">
        <v>74</v>
      </c>
      <c r="BG703" t="s">
        <v>74</v>
      </c>
      <c r="BH703" t="s">
        <v>74</v>
      </c>
      <c r="BI703">
        <v>9</v>
      </c>
      <c r="BJ703" t="s">
        <v>10164</v>
      </c>
      <c r="BK703" t="s">
        <v>1116</v>
      </c>
      <c r="BL703" t="s">
        <v>1474</v>
      </c>
      <c r="BM703" t="s">
        <v>10165</v>
      </c>
      <c r="BN703" t="s">
        <v>74</v>
      </c>
      <c r="BO703" t="s">
        <v>74</v>
      </c>
      <c r="BP703" t="s">
        <v>74</v>
      </c>
      <c r="BQ703" t="s">
        <v>74</v>
      </c>
      <c r="BR703" t="s">
        <v>99</v>
      </c>
      <c r="BS703" t="s">
        <v>10166</v>
      </c>
      <c r="BT703" t="str">
        <f>HYPERLINK("https%3A%2F%2Fwww.webofscience.com%2Fwos%2Fwoscc%2Ffull-record%2FWOS:000230410900009","View Full Record in Web of Science")</f>
        <v>View Full Record in Web of Science</v>
      </c>
    </row>
    <row r="704" spans="1:72" x14ac:dyDescent="0.15">
      <c r="A704" t="s">
        <v>72</v>
      </c>
      <c r="B704" t="s">
        <v>10167</v>
      </c>
      <c r="C704" t="s">
        <v>74</v>
      </c>
      <c r="D704" t="s">
        <v>74</v>
      </c>
      <c r="E704" t="s">
        <v>74</v>
      </c>
      <c r="F704" t="s">
        <v>10167</v>
      </c>
      <c r="G704" t="s">
        <v>74</v>
      </c>
      <c r="H704" t="s">
        <v>74</v>
      </c>
      <c r="I704" t="s">
        <v>10168</v>
      </c>
      <c r="J704" t="s">
        <v>10169</v>
      </c>
      <c r="K704" t="s">
        <v>74</v>
      </c>
      <c r="L704" t="s">
        <v>74</v>
      </c>
      <c r="M704" t="s">
        <v>77</v>
      </c>
      <c r="N704" t="s">
        <v>78</v>
      </c>
      <c r="O704" t="s">
        <v>74</v>
      </c>
      <c r="P704" t="s">
        <v>74</v>
      </c>
      <c r="Q704" t="s">
        <v>74</v>
      </c>
      <c r="R704" t="s">
        <v>74</v>
      </c>
      <c r="S704" t="s">
        <v>74</v>
      </c>
      <c r="T704" t="s">
        <v>74</v>
      </c>
      <c r="U704" t="s">
        <v>10170</v>
      </c>
      <c r="V704" t="s">
        <v>10171</v>
      </c>
      <c r="W704" t="s">
        <v>10172</v>
      </c>
      <c r="X704" t="s">
        <v>10173</v>
      </c>
      <c r="Y704" t="s">
        <v>10174</v>
      </c>
      <c r="Z704" t="s">
        <v>74</v>
      </c>
      <c r="AA704" t="s">
        <v>1934</v>
      </c>
      <c r="AB704" t="s">
        <v>1935</v>
      </c>
      <c r="AC704" t="s">
        <v>74</v>
      </c>
      <c r="AD704" t="s">
        <v>74</v>
      </c>
      <c r="AE704" t="s">
        <v>74</v>
      </c>
      <c r="AF704" t="s">
        <v>74</v>
      </c>
      <c r="AG704">
        <v>31</v>
      </c>
      <c r="AH704">
        <v>10</v>
      </c>
      <c r="AI704">
        <v>14</v>
      </c>
      <c r="AJ704">
        <v>0</v>
      </c>
      <c r="AK704">
        <v>8</v>
      </c>
      <c r="AL704" t="s">
        <v>10175</v>
      </c>
      <c r="AM704" t="s">
        <v>10176</v>
      </c>
      <c r="AN704" t="s">
        <v>10177</v>
      </c>
      <c r="AO704" t="s">
        <v>10178</v>
      </c>
      <c r="AP704" t="s">
        <v>74</v>
      </c>
      <c r="AQ704" t="s">
        <v>74</v>
      </c>
      <c r="AR704" t="s">
        <v>10179</v>
      </c>
      <c r="AS704" t="s">
        <v>10180</v>
      </c>
      <c r="AT704" t="s">
        <v>74</v>
      </c>
      <c r="AU704">
        <v>2004</v>
      </c>
      <c r="AV704">
        <v>40</v>
      </c>
      <c r="AW704" t="s">
        <v>74</v>
      </c>
      <c r="AX704">
        <v>2</v>
      </c>
      <c r="AY704" t="s">
        <v>74</v>
      </c>
      <c r="AZ704" t="s">
        <v>74</v>
      </c>
      <c r="BA704" t="s">
        <v>74</v>
      </c>
      <c r="BB704">
        <v>97</v>
      </c>
      <c r="BC704">
        <v>114</v>
      </c>
      <c r="BD704" t="s">
        <v>74</v>
      </c>
      <c r="BE704" t="s">
        <v>10181</v>
      </c>
      <c r="BF704" t="str">
        <f>HYPERLINK("http://dx.doi.org/10.1144/sjg40020097","http://dx.doi.org/10.1144/sjg40020097")</f>
        <v>http://dx.doi.org/10.1144/sjg40020097</v>
      </c>
      <c r="BG704" t="s">
        <v>74</v>
      </c>
      <c r="BH704" t="s">
        <v>74</v>
      </c>
      <c r="BI704">
        <v>18</v>
      </c>
      <c r="BJ704" t="s">
        <v>561</v>
      </c>
      <c r="BK704" t="s">
        <v>96</v>
      </c>
      <c r="BL704" t="s">
        <v>561</v>
      </c>
      <c r="BM704" t="s">
        <v>10182</v>
      </c>
      <c r="BN704" t="s">
        <v>74</v>
      </c>
      <c r="BO704" t="s">
        <v>74</v>
      </c>
      <c r="BP704" t="s">
        <v>74</v>
      </c>
      <c r="BQ704" t="s">
        <v>74</v>
      </c>
      <c r="BR704" t="s">
        <v>99</v>
      </c>
      <c r="BS704" t="s">
        <v>10183</v>
      </c>
      <c r="BT704" t="str">
        <f>HYPERLINK("https%3A%2F%2Fwww.webofscience.com%2Fwos%2Fwoscc%2Ffull-record%2FWOS:000230039600001","View Full Record in Web of Science")</f>
        <v>View Full Record in Web of Science</v>
      </c>
    </row>
    <row r="705" spans="1:72" x14ac:dyDescent="0.15">
      <c r="A705" t="s">
        <v>3934</v>
      </c>
      <c r="B705" t="s">
        <v>10184</v>
      </c>
      <c r="C705" t="s">
        <v>74</v>
      </c>
      <c r="D705" t="s">
        <v>10185</v>
      </c>
      <c r="E705" t="s">
        <v>74</v>
      </c>
      <c r="F705" t="s">
        <v>10184</v>
      </c>
      <c r="G705" t="s">
        <v>74</v>
      </c>
      <c r="H705" t="s">
        <v>74</v>
      </c>
      <c r="I705" t="s">
        <v>10186</v>
      </c>
      <c r="J705" t="s">
        <v>10187</v>
      </c>
      <c r="K705" t="s">
        <v>7572</v>
      </c>
      <c r="L705" t="s">
        <v>74</v>
      </c>
      <c r="M705" t="s">
        <v>77</v>
      </c>
      <c r="N705" t="s">
        <v>3940</v>
      </c>
      <c r="O705" t="s">
        <v>10188</v>
      </c>
      <c r="P705" t="s">
        <v>10091</v>
      </c>
      <c r="Q705" t="s">
        <v>10092</v>
      </c>
      <c r="R705" t="s">
        <v>74</v>
      </c>
      <c r="S705" t="s">
        <v>74</v>
      </c>
      <c r="T705" t="s">
        <v>10189</v>
      </c>
      <c r="U705" t="s">
        <v>74</v>
      </c>
      <c r="V705" t="s">
        <v>10190</v>
      </c>
      <c r="W705" t="s">
        <v>10191</v>
      </c>
      <c r="X705" t="s">
        <v>74</v>
      </c>
      <c r="Y705" t="s">
        <v>10192</v>
      </c>
      <c r="Z705" t="s">
        <v>74</v>
      </c>
      <c r="AA705" t="s">
        <v>74</v>
      </c>
      <c r="AB705" t="s">
        <v>74</v>
      </c>
      <c r="AC705" t="s">
        <v>74</v>
      </c>
      <c r="AD705" t="s">
        <v>74</v>
      </c>
      <c r="AE705" t="s">
        <v>74</v>
      </c>
      <c r="AF705" t="s">
        <v>74</v>
      </c>
      <c r="AG705">
        <v>7</v>
      </c>
      <c r="AH705">
        <v>0</v>
      </c>
      <c r="AI705">
        <v>0</v>
      </c>
      <c r="AJ705">
        <v>0</v>
      </c>
      <c r="AK705">
        <v>3</v>
      </c>
      <c r="AL705" t="s">
        <v>7542</v>
      </c>
      <c r="AM705" t="s">
        <v>7543</v>
      </c>
      <c r="AN705" t="s">
        <v>7544</v>
      </c>
      <c r="AO705" t="s">
        <v>7545</v>
      </c>
      <c r="AP705" t="s">
        <v>74</v>
      </c>
      <c r="AQ705" t="s">
        <v>10193</v>
      </c>
      <c r="AR705" t="s">
        <v>7577</v>
      </c>
      <c r="AS705" t="s">
        <v>74</v>
      </c>
      <c r="AT705" t="s">
        <v>74</v>
      </c>
      <c r="AU705">
        <v>2004</v>
      </c>
      <c r="AV705">
        <v>5570</v>
      </c>
      <c r="AW705" t="s">
        <v>74</v>
      </c>
      <c r="AX705" t="s">
        <v>74</v>
      </c>
      <c r="AY705" t="s">
        <v>74</v>
      </c>
      <c r="AZ705" t="s">
        <v>74</v>
      </c>
      <c r="BA705" t="s">
        <v>74</v>
      </c>
      <c r="BB705">
        <v>268</v>
      </c>
      <c r="BC705">
        <v>279</v>
      </c>
      <c r="BD705" t="s">
        <v>74</v>
      </c>
      <c r="BE705" t="s">
        <v>10194</v>
      </c>
      <c r="BF705" t="str">
        <f>HYPERLINK("http://dx.doi.org/10.1117/12.565110","http://dx.doi.org/10.1117/12.565110")</f>
        <v>http://dx.doi.org/10.1117/12.565110</v>
      </c>
      <c r="BG705" t="s">
        <v>74</v>
      </c>
      <c r="BH705" t="s">
        <v>74</v>
      </c>
      <c r="BI705">
        <v>12</v>
      </c>
      <c r="BJ705" t="s">
        <v>10195</v>
      </c>
      <c r="BK705" t="s">
        <v>3955</v>
      </c>
      <c r="BL705" t="s">
        <v>10196</v>
      </c>
      <c r="BM705" t="s">
        <v>10197</v>
      </c>
      <c r="BN705" t="s">
        <v>74</v>
      </c>
      <c r="BO705" t="s">
        <v>74</v>
      </c>
      <c r="BP705" t="s">
        <v>74</v>
      </c>
      <c r="BQ705" t="s">
        <v>74</v>
      </c>
      <c r="BR705" t="s">
        <v>99</v>
      </c>
      <c r="BS705" t="s">
        <v>10198</v>
      </c>
      <c r="BT705" t="str">
        <f>HYPERLINK("https%3A%2F%2Fwww.webofscience.com%2Fwos%2Fwoscc%2Ffull-record%2FWOS:000225676100028","View Full Record in Web of Science")</f>
        <v>View Full Record in Web of Science</v>
      </c>
    </row>
    <row r="706" spans="1:72" x14ac:dyDescent="0.15">
      <c r="A706" t="s">
        <v>3934</v>
      </c>
      <c r="B706" t="s">
        <v>10199</v>
      </c>
      <c r="C706" t="s">
        <v>74</v>
      </c>
      <c r="D706" t="s">
        <v>10200</v>
      </c>
      <c r="E706" t="s">
        <v>74</v>
      </c>
      <c r="F706" t="s">
        <v>10199</v>
      </c>
      <c r="G706" t="s">
        <v>74</v>
      </c>
      <c r="H706" t="s">
        <v>74</v>
      </c>
      <c r="I706" t="s">
        <v>10201</v>
      </c>
      <c r="J706" t="s">
        <v>10202</v>
      </c>
      <c r="K706" t="s">
        <v>74</v>
      </c>
      <c r="L706" t="s">
        <v>74</v>
      </c>
      <c r="M706" t="s">
        <v>77</v>
      </c>
      <c r="N706" t="s">
        <v>3940</v>
      </c>
      <c r="O706" t="s">
        <v>7276</v>
      </c>
      <c r="P706" t="s">
        <v>7277</v>
      </c>
      <c r="Q706" t="s">
        <v>7278</v>
      </c>
      <c r="R706" t="s">
        <v>74</v>
      </c>
      <c r="S706" t="s">
        <v>74</v>
      </c>
      <c r="T706" t="s">
        <v>74</v>
      </c>
      <c r="U706" t="s">
        <v>10203</v>
      </c>
      <c r="V706" t="s">
        <v>10204</v>
      </c>
      <c r="W706" t="s">
        <v>10205</v>
      </c>
      <c r="X706" t="s">
        <v>1966</v>
      </c>
      <c r="Y706" t="s">
        <v>10206</v>
      </c>
      <c r="Z706" t="s">
        <v>74</v>
      </c>
      <c r="AA706" t="s">
        <v>74</v>
      </c>
      <c r="AB706" t="s">
        <v>74</v>
      </c>
      <c r="AC706" t="s">
        <v>74</v>
      </c>
      <c r="AD706" t="s">
        <v>74</v>
      </c>
      <c r="AE706" t="s">
        <v>74</v>
      </c>
      <c r="AF706" t="s">
        <v>74</v>
      </c>
      <c r="AG706">
        <v>14</v>
      </c>
      <c r="AH706">
        <v>0</v>
      </c>
      <c r="AI706">
        <v>0</v>
      </c>
      <c r="AJ706">
        <v>0</v>
      </c>
      <c r="AK706">
        <v>3</v>
      </c>
      <c r="AL706" t="s">
        <v>10207</v>
      </c>
      <c r="AM706" t="s">
        <v>10208</v>
      </c>
      <c r="AN706" t="s">
        <v>10209</v>
      </c>
      <c r="AO706" t="s">
        <v>74</v>
      </c>
      <c r="AP706" t="s">
        <v>74</v>
      </c>
      <c r="AQ706" t="s">
        <v>10210</v>
      </c>
      <c r="AR706" t="s">
        <v>74</v>
      </c>
      <c r="AS706" t="s">
        <v>74</v>
      </c>
      <c r="AT706" t="s">
        <v>74</v>
      </c>
      <c r="AU706">
        <v>2004</v>
      </c>
      <c r="AV706" t="s">
        <v>74</v>
      </c>
      <c r="AW706" t="s">
        <v>74</v>
      </c>
      <c r="AX706" t="s">
        <v>74</v>
      </c>
      <c r="AY706" t="s">
        <v>74</v>
      </c>
      <c r="AZ706" t="s">
        <v>74</v>
      </c>
      <c r="BA706" t="s">
        <v>74</v>
      </c>
      <c r="BB706">
        <v>369</v>
      </c>
      <c r="BC706">
        <v>375</v>
      </c>
      <c r="BD706" t="s">
        <v>74</v>
      </c>
      <c r="BE706" t="s">
        <v>74</v>
      </c>
      <c r="BF706" t="s">
        <v>74</v>
      </c>
      <c r="BG706" t="s">
        <v>74</v>
      </c>
      <c r="BH706" t="s">
        <v>74</v>
      </c>
      <c r="BI706">
        <v>7</v>
      </c>
      <c r="BJ706" t="s">
        <v>10211</v>
      </c>
      <c r="BK706" t="s">
        <v>3955</v>
      </c>
      <c r="BL706" t="s">
        <v>10211</v>
      </c>
      <c r="BM706" t="s">
        <v>10212</v>
      </c>
      <c r="BN706" t="s">
        <v>74</v>
      </c>
      <c r="BO706" t="s">
        <v>74</v>
      </c>
      <c r="BP706" t="s">
        <v>74</v>
      </c>
      <c r="BQ706" t="s">
        <v>74</v>
      </c>
      <c r="BR706" t="s">
        <v>99</v>
      </c>
      <c r="BS706" t="s">
        <v>10213</v>
      </c>
      <c r="BT706" t="str">
        <f>HYPERLINK("https%3A%2F%2Fwww.webofscience.com%2Fwos%2Fwoscc%2Ffull-record%2FWOS:000227353800062","View Full Record in Web of Science")</f>
        <v>View Full Record in Web of Science</v>
      </c>
    </row>
    <row r="707" spans="1:72" x14ac:dyDescent="0.15">
      <c r="A707" t="s">
        <v>72</v>
      </c>
      <c r="B707" t="s">
        <v>10214</v>
      </c>
      <c r="C707" t="s">
        <v>74</v>
      </c>
      <c r="D707" t="s">
        <v>74</v>
      </c>
      <c r="E707" t="s">
        <v>74</v>
      </c>
      <c r="F707" t="s">
        <v>10214</v>
      </c>
      <c r="G707" t="s">
        <v>74</v>
      </c>
      <c r="H707" t="s">
        <v>74</v>
      </c>
      <c r="I707" t="s">
        <v>10215</v>
      </c>
      <c r="J707" t="s">
        <v>10216</v>
      </c>
      <c r="K707" t="s">
        <v>74</v>
      </c>
      <c r="L707" t="s">
        <v>74</v>
      </c>
      <c r="M707" t="s">
        <v>77</v>
      </c>
      <c r="N707" t="s">
        <v>78</v>
      </c>
      <c r="O707" t="s">
        <v>74</v>
      </c>
      <c r="P707" t="s">
        <v>74</v>
      </c>
      <c r="Q707" t="s">
        <v>74</v>
      </c>
      <c r="R707" t="s">
        <v>74</v>
      </c>
      <c r="S707" t="s">
        <v>74</v>
      </c>
      <c r="T707" t="s">
        <v>10217</v>
      </c>
      <c r="U707" t="s">
        <v>10218</v>
      </c>
      <c r="V707" t="s">
        <v>10219</v>
      </c>
      <c r="W707" t="s">
        <v>10220</v>
      </c>
      <c r="X707" t="s">
        <v>10221</v>
      </c>
      <c r="Y707" t="s">
        <v>10222</v>
      </c>
      <c r="Z707" t="s">
        <v>10223</v>
      </c>
      <c r="AA707" t="s">
        <v>10224</v>
      </c>
      <c r="AB707" t="s">
        <v>10225</v>
      </c>
      <c r="AC707" t="s">
        <v>74</v>
      </c>
      <c r="AD707" t="s">
        <v>74</v>
      </c>
      <c r="AE707" t="s">
        <v>74</v>
      </c>
      <c r="AF707" t="s">
        <v>74</v>
      </c>
      <c r="AG707">
        <v>51</v>
      </c>
      <c r="AH707">
        <v>62</v>
      </c>
      <c r="AI707">
        <v>76</v>
      </c>
      <c r="AJ707">
        <v>4</v>
      </c>
      <c r="AK707">
        <v>60</v>
      </c>
      <c r="AL707" t="s">
        <v>213</v>
      </c>
      <c r="AM707" t="s">
        <v>214</v>
      </c>
      <c r="AN707" t="s">
        <v>215</v>
      </c>
      <c r="AO707" t="s">
        <v>10226</v>
      </c>
      <c r="AP707" t="s">
        <v>74</v>
      </c>
      <c r="AQ707" t="s">
        <v>74</v>
      </c>
      <c r="AR707" t="s">
        <v>10227</v>
      </c>
      <c r="AS707" t="s">
        <v>10228</v>
      </c>
      <c r="AT707" t="s">
        <v>4117</v>
      </c>
      <c r="AU707">
        <v>2004</v>
      </c>
      <c r="AV707">
        <v>36</v>
      </c>
      <c r="AW707">
        <v>1</v>
      </c>
      <c r="AX707" t="s">
        <v>74</v>
      </c>
      <c r="AY707" t="s">
        <v>74</v>
      </c>
      <c r="AZ707" t="s">
        <v>74</v>
      </c>
      <c r="BA707" t="s">
        <v>74</v>
      </c>
      <c r="BB707">
        <v>165</v>
      </c>
      <c r="BC707">
        <v>175</v>
      </c>
      <c r="BD707" t="s">
        <v>74</v>
      </c>
      <c r="BE707" t="s">
        <v>10229</v>
      </c>
      <c r="BF707" t="str">
        <f>HYPERLINK("http://dx.doi.org/10.1016/j.soilbio.2003.09.004","http://dx.doi.org/10.1016/j.soilbio.2003.09.004")</f>
        <v>http://dx.doi.org/10.1016/j.soilbio.2003.09.004</v>
      </c>
      <c r="BG707" t="s">
        <v>74</v>
      </c>
      <c r="BH707" t="s">
        <v>74</v>
      </c>
      <c r="BI707">
        <v>11</v>
      </c>
      <c r="BJ707" t="s">
        <v>10230</v>
      </c>
      <c r="BK707" t="s">
        <v>96</v>
      </c>
      <c r="BL707" t="s">
        <v>10231</v>
      </c>
      <c r="BM707" t="s">
        <v>10232</v>
      </c>
      <c r="BN707" t="s">
        <v>74</v>
      </c>
      <c r="BO707" t="s">
        <v>74</v>
      </c>
      <c r="BP707" t="s">
        <v>74</v>
      </c>
      <c r="BQ707" t="s">
        <v>74</v>
      </c>
      <c r="BR707" t="s">
        <v>99</v>
      </c>
      <c r="BS707" t="s">
        <v>10233</v>
      </c>
      <c r="BT707" t="str">
        <f>HYPERLINK("https%3A%2F%2Fwww.webofscience.com%2Fwos%2Fwoscc%2Ffull-record%2FWOS:000188587600019","View Full Record in Web of Science")</f>
        <v>View Full Record in Web of Science</v>
      </c>
    </row>
    <row r="708" spans="1:72" x14ac:dyDescent="0.15">
      <c r="A708" t="s">
        <v>497</v>
      </c>
      <c r="B708" t="s">
        <v>10234</v>
      </c>
      <c r="C708" t="s">
        <v>74</v>
      </c>
      <c r="D708" t="s">
        <v>10235</v>
      </c>
      <c r="E708" t="s">
        <v>74</v>
      </c>
      <c r="F708" t="s">
        <v>10234</v>
      </c>
      <c r="G708" t="s">
        <v>74</v>
      </c>
      <c r="H708" t="s">
        <v>74</v>
      </c>
      <c r="I708" t="s">
        <v>10236</v>
      </c>
      <c r="J708" t="s">
        <v>10237</v>
      </c>
      <c r="K708" t="s">
        <v>7834</v>
      </c>
      <c r="L708" t="s">
        <v>74</v>
      </c>
      <c r="M708" t="s">
        <v>77</v>
      </c>
      <c r="N708" t="s">
        <v>311</v>
      </c>
      <c r="O708" t="s">
        <v>5916</v>
      </c>
      <c r="P708" t="s">
        <v>5917</v>
      </c>
      <c r="Q708" t="s">
        <v>5918</v>
      </c>
      <c r="R708" t="s">
        <v>74</v>
      </c>
      <c r="S708" t="s">
        <v>74</v>
      </c>
      <c r="T708" t="s">
        <v>10238</v>
      </c>
      <c r="U708" t="s">
        <v>10239</v>
      </c>
      <c r="V708" t="s">
        <v>10240</v>
      </c>
      <c r="W708" t="s">
        <v>9506</v>
      </c>
      <c r="X708" t="s">
        <v>1912</v>
      </c>
      <c r="Y708" t="s">
        <v>10241</v>
      </c>
      <c r="Z708" t="s">
        <v>9498</v>
      </c>
      <c r="AA708" t="s">
        <v>74</v>
      </c>
      <c r="AB708" t="s">
        <v>74</v>
      </c>
      <c r="AC708" t="s">
        <v>74</v>
      </c>
      <c r="AD708" t="s">
        <v>74</v>
      </c>
      <c r="AE708" t="s">
        <v>74</v>
      </c>
      <c r="AF708" t="s">
        <v>74</v>
      </c>
      <c r="AG708">
        <v>15</v>
      </c>
      <c r="AH708">
        <v>8</v>
      </c>
      <c r="AI708">
        <v>8</v>
      </c>
      <c r="AJ708">
        <v>0</v>
      </c>
      <c r="AK708">
        <v>1</v>
      </c>
      <c r="AL708" t="s">
        <v>213</v>
      </c>
      <c r="AM708" t="s">
        <v>5925</v>
      </c>
      <c r="AN708" t="s">
        <v>5926</v>
      </c>
      <c r="AO708" t="s">
        <v>5927</v>
      </c>
      <c r="AP708" t="s">
        <v>74</v>
      </c>
      <c r="AQ708" t="s">
        <v>74</v>
      </c>
      <c r="AR708" t="s">
        <v>7848</v>
      </c>
      <c r="AS708" t="s">
        <v>74</v>
      </c>
      <c r="AT708" t="s">
        <v>74</v>
      </c>
      <c r="AU708">
        <v>2004</v>
      </c>
      <c r="AV708">
        <v>34</v>
      </c>
      <c r="AW708">
        <v>2</v>
      </c>
      <c r="AX708" t="s">
        <v>74</v>
      </c>
      <c r="AY708" t="s">
        <v>74</v>
      </c>
      <c r="AZ708" t="s">
        <v>74</v>
      </c>
      <c r="BA708" t="s">
        <v>74</v>
      </c>
      <c r="BB708">
        <v>355</v>
      </c>
      <c r="BC708">
        <v>360</v>
      </c>
      <c r="BD708" t="s">
        <v>74</v>
      </c>
      <c r="BE708" t="s">
        <v>10242</v>
      </c>
      <c r="BF708" t="str">
        <f>HYPERLINK("http://dx.doi.org/10.1016/j.asr.2003.02.049","http://dx.doi.org/10.1016/j.asr.2003.02.049")</f>
        <v>http://dx.doi.org/10.1016/j.asr.2003.02.049</v>
      </c>
      <c r="BG708" t="s">
        <v>74</v>
      </c>
      <c r="BH708" t="s">
        <v>74</v>
      </c>
      <c r="BI708">
        <v>6</v>
      </c>
      <c r="BJ708" t="s">
        <v>7850</v>
      </c>
      <c r="BK708" t="s">
        <v>1116</v>
      </c>
      <c r="BL708" t="s">
        <v>7851</v>
      </c>
      <c r="BM708" t="s">
        <v>10243</v>
      </c>
      <c r="BN708" t="s">
        <v>74</v>
      </c>
      <c r="BO708" t="s">
        <v>74</v>
      </c>
      <c r="BP708" t="s">
        <v>74</v>
      </c>
      <c r="BQ708" t="s">
        <v>74</v>
      </c>
      <c r="BR708" t="s">
        <v>99</v>
      </c>
      <c r="BS708" t="s">
        <v>10244</v>
      </c>
      <c r="BT708" t="str">
        <f>HYPERLINK("https%3A%2F%2Fwww.webofscience.com%2Fwos%2Fwoscc%2Ffull-record%2FWOS:000223368900022","View Full Record in Web of Science")</f>
        <v>View Full Record in Web of Science</v>
      </c>
    </row>
    <row r="709" spans="1:72" x14ac:dyDescent="0.15">
      <c r="A709" t="s">
        <v>497</v>
      </c>
      <c r="B709" t="s">
        <v>10245</v>
      </c>
      <c r="C709" t="s">
        <v>74</v>
      </c>
      <c r="D709" t="s">
        <v>10235</v>
      </c>
      <c r="E709" t="s">
        <v>74</v>
      </c>
      <c r="F709" t="s">
        <v>10245</v>
      </c>
      <c r="G709" t="s">
        <v>74</v>
      </c>
      <c r="H709" t="s">
        <v>74</v>
      </c>
      <c r="I709" t="s">
        <v>10246</v>
      </c>
      <c r="J709" t="s">
        <v>10237</v>
      </c>
      <c r="K709" t="s">
        <v>7834</v>
      </c>
      <c r="L709" t="s">
        <v>74</v>
      </c>
      <c r="M709" t="s">
        <v>77</v>
      </c>
      <c r="N709" t="s">
        <v>311</v>
      </c>
      <c r="O709" t="s">
        <v>5916</v>
      </c>
      <c r="P709" t="s">
        <v>5917</v>
      </c>
      <c r="Q709" t="s">
        <v>5918</v>
      </c>
      <c r="R709" t="s">
        <v>74</v>
      </c>
      <c r="S709" t="s">
        <v>74</v>
      </c>
      <c r="T709" t="s">
        <v>10247</v>
      </c>
      <c r="U709" t="s">
        <v>10248</v>
      </c>
      <c r="V709" t="s">
        <v>10249</v>
      </c>
      <c r="W709" t="s">
        <v>9506</v>
      </c>
      <c r="X709" t="s">
        <v>1912</v>
      </c>
      <c r="Y709" t="s">
        <v>10250</v>
      </c>
      <c r="Z709" t="s">
        <v>6922</v>
      </c>
      <c r="AA709" t="s">
        <v>74</v>
      </c>
      <c r="AB709" t="s">
        <v>74</v>
      </c>
      <c r="AC709" t="s">
        <v>74</v>
      </c>
      <c r="AD709" t="s">
        <v>74</v>
      </c>
      <c r="AE709" t="s">
        <v>74</v>
      </c>
      <c r="AF709" t="s">
        <v>74</v>
      </c>
      <c r="AG709">
        <v>10</v>
      </c>
      <c r="AH709">
        <v>6</v>
      </c>
      <c r="AI709">
        <v>6</v>
      </c>
      <c r="AJ709">
        <v>0</v>
      </c>
      <c r="AK709">
        <v>4</v>
      </c>
      <c r="AL709" t="s">
        <v>213</v>
      </c>
      <c r="AM709" t="s">
        <v>5925</v>
      </c>
      <c r="AN709" t="s">
        <v>5926</v>
      </c>
      <c r="AO709" t="s">
        <v>5927</v>
      </c>
      <c r="AP709" t="s">
        <v>74</v>
      </c>
      <c r="AQ709" t="s">
        <v>74</v>
      </c>
      <c r="AR709" t="s">
        <v>7848</v>
      </c>
      <c r="AS709" t="s">
        <v>74</v>
      </c>
      <c r="AT709" t="s">
        <v>74</v>
      </c>
      <c r="AU709">
        <v>2004</v>
      </c>
      <c r="AV709">
        <v>34</v>
      </c>
      <c r="AW709">
        <v>2</v>
      </c>
      <c r="AX709" t="s">
        <v>74</v>
      </c>
      <c r="AY709" t="s">
        <v>74</v>
      </c>
      <c r="AZ709" t="s">
        <v>74</v>
      </c>
      <c r="BA709" t="s">
        <v>74</v>
      </c>
      <c r="BB709">
        <v>432</v>
      </c>
      <c r="BC709">
        <v>435</v>
      </c>
      <c r="BD709" t="s">
        <v>74</v>
      </c>
      <c r="BE709" t="s">
        <v>10251</v>
      </c>
      <c r="BF709" t="str">
        <f>HYPERLINK("http://dx.doi.org/10.1016/j.asr.2003.03.049","http://dx.doi.org/10.1016/j.asr.2003.03.049")</f>
        <v>http://dx.doi.org/10.1016/j.asr.2003.03.049</v>
      </c>
      <c r="BG709" t="s">
        <v>74</v>
      </c>
      <c r="BH709" t="s">
        <v>74</v>
      </c>
      <c r="BI709">
        <v>4</v>
      </c>
      <c r="BJ709" t="s">
        <v>7850</v>
      </c>
      <c r="BK709" t="s">
        <v>1116</v>
      </c>
      <c r="BL709" t="s">
        <v>7851</v>
      </c>
      <c r="BM709" t="s">
        <v>10243</v>
      </c>
      <c r="BN709" t="s">
        <v>74</v>
      </c>
      <c r="BO709" t="s">
        <v>74</v>
      </c>
      <c r="BP709" t="s">
        <v>74</v>
      </c>
      <c r="BQ709" t="s">
        <v>74</v>
      </c>
      <c r="BR709" t="s">
        <v>99</v>
      </c>
      <c r="BS709" t="s">
        <v>10252</v>
      </c>
      <c r="BT709" t="str">
        <f>HYPERLINK("https%3A%2F%2Fwww.webofscience.com%2Fwos%2Fwoscc%2Ffull-record%2FWOS:000223368900034","View Full Record in Web of Science")</f>
        <v>View Full Record in Web of Science</v>
      </c>
    </row>
    <row r="710" spans="1:72" x14ac:dyDescent="0.15">
      <c r="A710" t="s">
        <v>497</v>
      </c>
      <c r="B710" t="s">
        <v>10253</v>
      </c>
      <c r="C710" t="s">
        <v>74</v>
      </c>
      <c r="D710" t="s">
        <v>10254</v>
      </c>
      <c r="E710" t="s">
        <v>74</v>
      </c>
      <c r="F710" t="s">
        <v>10253</v>
      </c>
      <c r="G710" t="s">
        <v>74</v>
      </c>
      <c r="H710" t="s">
        <v>74</v>
      </c>
      <c r="I710" t="s">
        <v>10255</v>
      </c>
      <c r="J710" t="s">
        <v>10256</v>
      </c>
      <c r="K710" t="s">
        <v>7834</v>
      </c>
      <c r="L710" t="s">
        <v>74</v>
      </c>
      <c r="M710" t="s">
        <v>77</v>
      </c>
      <c r="N710" t="s">
        <v>311</v>
      </c>
      <c r="O710" t="s">
        <v>5916</v>
      </c>
      <c r="P710" t="s">
        <v>5917</v>
      </c>
      <c r="Q710" t="s">
        <v>5918</v>
      </c>
      <c r="R710" t="s">
        <v>74</v>
      </c>
      <c r="S710" t="s">
        <v>74</v>
      </c>
      <c r="T710" t="s">
        <v>10257</v>
      </c>
      <c r="U710" t="s">
        <v>10258</v>
      </c>
      <c r="V710" t="s">
        <v>10259</v>
      </c>
      <c r="W710" t="s">
        <v>9506</v>
      </c>
      <c r="X710" t="s">
        <v>1912</v>
      </c>
      <c r="Y710" t="s">
        <v>9507</v>
      </c>
      <c r="Z710" t="s">
        <v>9498</v>
      </c>
      <c r="AA710" t="s">
        <v>10260</v>
      </c>
      <c r="AB710" t="s">
        <v>10261</v>
      </c>
      <c r="AC710" t="s">
        <v>74</v>
      </c>
      <c r="AD710" t="s">
        <v>74</v>
      </c>
      <c r="AE710" t="s">
        <v>74</v>
      </c>
      <c r="AF710" t="s">
        <v>74</v>
      </c>
      <c r="AG710">
        <v>11</v>
      </c>
      <c r="AH710">
        <v>2</v>
      </c>
      <c r="AI710">
        <v>2</v>
      </c>
      <c r="AJ710">
        <v>0</v>
      </c>
      <c r="AK710">
        <v>1</v>
      </c>
      <c r="AL710" t="s">
        <v>213</v>
      </c>
      <c r="AM710" t="s">
        <v>5925</v>
      </c>
      <c r="AN710" t="s">
        <v>5926</v>
      </c>
      <c r="AO710" t="s">
        <v>5927</v>
      </c>
      <c r="AP710" t="s">
        <v>74</v>
      </c>
      <c r="AQ710" t="s">
        <v>74</v>
      </c>
      <c r="AR710" t="s">
        <v>7848</v>
      </c>
      <c r="AS710" t="s">
        <v>74</v>
      </c>
      <c r="AT710" t="s">
        <v>74</v>
      </c>
      <c r="AU710">
        <v>2004</v>
      </c>
      <c r="AV710">
        <v>34</v>
      </c>
      <c r="AW710">
        <v>7</v>
      </c>
      <c r="AX710" t="s">
        <v>74</v>
      </c>
      <c r="AY710" t="s">
        <v>74</v>
      </c>
      <c r="AZ710" t="s">
        <v>74</v>
      </c>
      <c r="BA710" t="s">
        <v>74</v>
      </c>
      <c r="BB710">
        <v>1619</v>
      </c>
      <c r="BC710">
        <v>1624</v>
      </c>
      <c r="BD710" t="s">
        <v>74</v>
      </c>
      <c r="BE710" t="s">
        <v>10262</v>
      </c>
      <c r="BF710" t="str">
        <f>HYPERLINK("http://dx.doi.org/10.1016/j.asr.2004.02.013","http://dx.doi.org/10.1016/j.asr.2004.02.013")</f>
        <v>http://dx.doi.org/10.1016/j.asr.2004.02.013</v>
      </c>
      <c r="BG710" t="s">
        <v>74</v>
      </c>
      <c r="BH710" t="s">
        <v>74</v>
      </c>
      <c r="BI710">
        <v>6</v>
      </c>
      <c r="BJ710" t="s">
        <v>10263</v>
      </c>
      <c r="BK710" t="s">
        <v>1116</v>
      </c>
      <c r="BL710" t="s">
        <v>10264</v>
      </c>
      <c r="BM710" t="s">
        <v>10265</v>
      </c>
      <c r="BN710">
        <v>15880902</v>
      </c>
      <c r="BO710" t="s">
        <v>74</v>
      </c>
      <c r="BP710" t="s">
        <v>74</v>
      </c>
      <c r="BQ710" t="s">
        <v>74</v>
      </c>
      <c r="BR710" t="s">
        <v>99</v>
      </c>
      <c r="BS710" t="s">
        <v>10266</v>
      </c>
      <c r="BT710" t="str">
        <f>HYPERLINK("https%3A%2F%2Fwww.webofscience.com%2Fwos%2Fwoscc%2Ffull-record%2FWOS:000225592800023","View Full Record in Web of Science")</f>
        <v>View Full Record in Web of Science</v>
      </c>
    </row>
    <row r="711" spans="1:72" x14ac:dyDescent="0.15">
      <c r="A711" t="s">
        <v>497</v>
      </c>
      <c r="B711" t="s">
        <v>10267</v>
      </c>
      <c r="C711" t="s">
        <v>74</v>
      </c>
      <c r="D711" t="s">
        <v>10268</v>
      </c>
      <c r="E711" t="s">
        <v>74</v>
      </c>
      <c r="F711" t="s">
        <v>10267</v>
      </c>
      <c r="G711" t="s">
        <v>74</v>
      </c>
      <c r="H711" t="s">
        <v>74</v>
      </c>
      <c r="I711" t="s">
        <v>10269</v>
      </c>
      <c r="J711" t="s">
        <v>10270</v>
      </c>
      <c r="K711" t="s">
        <v>7834</v>
      </c>
      <c r="L711" t="s">
        <v>74</v>
      </c>
      <c r="M711" t="s">
        <v>77</v>
      </c>
      <c r="N711" t="s">
        <v>311</v>
      </c>
      <c r="O711" t="s">
        <v>5916</v>
      </c>
      <c r="P711" t="s">
        <v>5917</v>
      </c>
      <c r="Q711" t="s">
        <v>5918</v>
      </c>
      <c r="R711" t="s">
        <v>74</v>
      </c>
      <c r="S711" t="s">
        <v>74</v>
      </c>
      <c r="T711" t="s">
        <v>10271</v>
      </c>
      <c r="U711" t="s">
        <v>10272</v>
      </c>
      <c r="V711" t="s">
        <v>10273</v>
      </c>
      <c r="W711" t="s">
        <v>10274</v>
      </c>
      <c r="X711" t="s">
        <v>10275</v>
      </c>
      <c r="Y711" t="s">
        <v>10276</v>
      </c>
      <c r="Z711" t="s">
        <v>10277</v>
      </c>
      <c r="AA711" t="s">
        <v>10278</v>
      </c>
      <c r="AB711" t="s">
        <v>10279</v>
      </c>
      <c r="AC711" t="s">
        <v>74</v>
      </c>
      <c r="AD711" t="s">
        <v>74</v>
      </c>
      <c r="AE711" t="s">
        <v>74</v>
      </c>
      <c r="AF711" t="s">
        <v>74</v>
      </c>
      <c r="AG711">
        <v>22</v>
      </c>
      <c r="AH711">
        <v>18</v>
      </c>
      <c r="AI711">
        <v>22</v>
      </c>
      <c r="AJ711">
        <v>0</v>
      </c>
      <c r="AK711">
        <v>16</v>
      </c>
      <c r="AL711" t="s">
        <v>213</v>
      </c>
      <c r="AM711" t="s">
        <v>5925</v>
      </c>
      <c r="AN711" t="s">
        <v>5926</v>
      </c>
      <c r="AO711" t="s">
        <v>5927</v>
      </c>
      <c r="AP711" t="s">
        <v>74</v>
      </c>
      <c r="AQ711" t="s">
        <v>74</v>
      </c>
      <c r="AR711" t="s">
        <v>7848</v>
      </c>
      <c r="AS711" t="s">
        <v>74</v>
      </c>
      <c r="AT711" t="s">
        <v>74</v>
      </c>
      <c r="AU711">
        <v>2004</v>
      </c>
      <c r="AV711">
        <v>33</v>
      </c>
      <c r="AW711">
        <v>8</v>
      </c>
      <c r="AX711" t="s">
        <v>74</v>
      </c>
      <c r="AY711" t="s">
        <v>74</v>
      </c>
      <c r="AZ711" t="s">
        <v>74</v>
      </c>
      <c r="BA711" t="s">
        <v>74</v>
      </c>
      <c r="BB711">
        <v>1222</v>
      </c>
      <c r="BC711">
        <v>1230</v>
      </c>
      <c r="BD711" t="s">
        <v>74</v>
      </c>
      <c r="BE711" t="s">
        <v>10280</v>
      </c>
      <c r="BF711" t="str">
        <f>HYPERLINK("http://dx.doi.org/10.1016/j.asr.2003.08.033","http://dx.doi.org/10.1016/j.asr.2003.08.033")</f>
        <v>http://dx.doi.org/10.1016/j.asr.2003.08.033</v>
      </c>
      <c r="BG711" t="s">
        <v>74</v>
      </c>
      <c r="BH711" t="s">
        <v>74</v>
      </c>
      <c r="BI711">
        <v>9</v>
      </c>
      <c r="BJ711" t="s">
        <v>10263</v>
      </c>
      <c r="BK711" t="s">
        <v>1116</v>
      </c>
      <c r="BL711" t="s">
        <v>10264</v>
      </c>
      <c r="BM711" t="s">
        <v>10281</v>
      </c>
      <c r="BN711" t="s">
        <v>74</v>
      </c>
      <c r="BO711" t="s">
        <v>74</v>
      </c>
      <c r="BP711" t="s">
        <v>74</v>
      </c>
      <c r="BQ711" t="s">
        <v>74</v>
      </c>
      <c r="BR711" t="s">
        <v>99</v>
      </c>
      <c r="BS711" t="s">
        <v>10282</v>
      </c>
      <c r="BT711" t="str">
        <f>HYPERLINK("https%3A%2F%2Fwww.webofscience.com%2Fwos%2Fwoscc%2Ffull-record%2FWOS:000222000200002","View Full Record in Web of Science")</f>
        <v>View Full Record in Web of Science</v>
      </c>
    </row>
    <row r="712" spans="1:72" x14ac:dyDescent="0.15">
      <c r="A712" t="s">
        <v>497</v>
      </c>
      <c r="B712" t="s">
        <v>1497</v>
      </c>
      <c r="C712" t="s">
        <v>74</v>
      </c>
      <c r="D712" t="s">
        <v>10268</v>
      </c>
      <c r="E712" t="s">
        <v>74</v>
      </c>
      <c r="F712" t="s">
        <v>1497</v>
      </c>
      <c r="G712" t="s">
        <v>74</v>
      </c>
      <c r="H712" t="s">
        <v>74</v>
      </c>
      <c r="I712" t="s">
        <v>10283</v>
      </c>
      <c r="J712" t="s">
        <v>10270</v>
      </c>
      <c r="K712" t="s">
        <v>7834</v>
      </c>
      <c r="L712" t="s">
        <v>74</v>
      </c>
      <c r="M712" t="s">
        <v>77</v>
      </c>
      <c r="N712" t="s">
        <v>311</v>
      </c>
      <c r="O712" t="s">
        <v>5916</v>
      </c>
      <c r="P712" t="s">
        <v>5917</v>
      </c>
      <c r="Q712" t="s">
        <v>5918</v>
      </c>
      <c r="R712" t="s">
        <v>74</v>
      </c>
      <c r="S712" t="s">
        <v>74</v>
      </c>
      <c r="T712" t="s">
        <v>10284</v>
      </c>
      <c r="U712" t="s">
        <v>10285</v>
      </c>
      <c r="V712" t="s">
        <v>10286</v>
      </c>
      <c r="W712" t="s">
        <v>10287</v>
      </c>
      <c r="X712" t="s">
        <v>10288</v>
      </c>
      <c r="Y712" t="s">
        <v>10289</v>
      </c>
      <c r="Z712" t="s">
        <v>7765</v>
      </c>
      <c r="AA712" t="s">
        <v>74</v>
      </c>
      <c r="AB712" t="s">
        <v>74</v>
      </c>
      <c r="AC712" t="s">
        <v>74</v>
      </c>
      <c r="AD712" t="s">
        <v>74</v>
      </c>
      <c r="AE712" t="s">
        <v>74</v>
      </c>
      <c r="AF712" t="s">
        <v>74</v>
      </c>
      <c r="AG712">
        <v>27</v>
      </c>
      <c r="AH712">
        <v>12</v>
      </c>
      <c r="AI712">
        <v>13</v>
      </c>
      <c r="AJ712">
        <v>0</v>
      </c>
      <c r="AK712">
        <v>8</v>
      </c>
      <c r="AL712" t="s">
        <v>213</v>
      </c>
      <c r="AM712" t="s">
        <v>5925</v>
      </c>
      <c r="AN712" t="s">
        <v>5926</v>
      </c>
      <c r="AO712" t="s">
        <v>5927</v>
      </c>
      <c r="AP712" t="s">
        <v>74</v>
      </c>
      <c r="AQ712" t="s">
        <v>74</v>
      </c>
      <c r="AR712" t="s">
        <v>7848</v>
      </c>
      <c r="AS712" t="s">
        <v>74</v>
      </c>
      <c r="AT712" t="s">
        <v>74</v>
      </c>
      <c r="AU712">
        <v>2004</v>
      </c>
      <c r="AV712">
        <v>33</v>
      </c>
      <c r="AW712">
        <v>8</v>
      </c>
      <c r="AX712" t="s">
        <v>74</v>
      </c>
      <c r="AY712" t="s">
        <v>74</v>
      </c>
      <c r="AZ712" t="s">
        <v>74</v>
      </c>
      <c r="BA712" t="s">
        <v>74</v>
      </c>
      <c r="BB712">
        <v>1231</v>
      </c>
      <c r="BC712">
        <v>1235</v>
      </c>
      <c r="BD712" t="s">
        <v>74</v>
      </c>
      <c r="BE712" t="s">
        <v>10290</v>
      </c>
      <c r="BF712" t="str">
        <f>HYPERLINK("http://dx.doi.org/10.1016/j.asr.2003.06.027","http://dx.doi.org/10.1016/j.asr.2003.06.027")</f>
        <v>http://dx.doi.org/10.1016/j.asr.2003.06.027</v>
      </c>
      <c r="BG712" t="s">
        <v>74</v>
      </c>
      <c r="BH712" t="s">
        <v>74</v>
      </c>
      <c r="BI712">
        <v>5</v>
      </c>
      <c r="BJ712" t="s">
        <v>10263</v>
      </c>
      <c r="BK712" t="s">
        <v>1116</v>
      </c>
      <c r="BL712" t="s">
        <v>10264</v>
      </c>
      <c r="BM712" t="s">
        <v>10281</v>
      </c>
      <c r="BN712">
        <v>15803603</v>
      </c>
      <c r="BO712" t="s">
        <v>74</v>
      </c>
      <c r="BP712" t="s">
        <v>74</v>
      </c>
      <c r="BQ712" t="s">
        <v>74</v>
      </c>
      <c r="BR712" t="s">
        <v>99</v>
      </c>
      <c r="BS712" t="s">
        <v>10291</v>
      </c>
      <c r="BT712" t="str">
        <f>HYPERLINK("https%3A%2F%2Fwww.webofscience.com%2Fwos%2Fwoscc%2Ffull-record%2FWOS:000222000200003","View Full Record in Web of Science")</f>
        <v>View Full Record in Web of Science</v>
      </c>
    </row>
    <row r="713" spans="1:72" x14ac:dyDescent="0.15">
      <c r="A713" t="s">
        <v>497</v>
      </c>
      <c r="B713" t="s">
        <v>10292</v>
      </c>
      <c r="C713" t="s">
        <v>74</v>
      </c>
      <c r="D713" t="s">
        <v>10293</v>
      </c>
      <c r="E713" t="s">
        <v>74</v>
      </c>
      <c r="F713" t="s">
        <v>10292</v>
      </c>
      <c r="G713" t="s">
        <v>74</v>
      </c>
      <c r="H713" t="s">
        <v>74</v>
      </c>
      <c r="I713" t="s">
        <v>10294</v>
      </c>
      <c r="J713" t="s">
        <v>10295</v>
      </c>
      <c r="K713" t="s">
        <v>7834</v>
      </c>
      <c r="L713" t="s">
        <v>74</v>
      </c>
      <c r="M713" t="s">
        <v>77</v>
      </c>
      <c r="N713" t="s">
        <v>311</v>
      </c>
      <c r="O713" t="s">
        <v>5916</v>
      </c>
      <c r="P713" t="s">
        <v>5917</v>
      </c>
      <c r="Q713" t="s">
        <v>5918</v>
      </c>
      <c r="R713" t="s">
        <v>74</v>
      </c>
      <c r="S713" t="s">
        <v>74</v>
      </c>
      <c r="T713" t="s">
        <v>10296</v>
      </c>
      <c r="U713" t="s">
        <v>10297</v>
      </c>
      <c r="V713" t="s">
        <v>10298</v>
      </c>
      <c r="W713" t="s">
        <v>10299</v>
      </c>
      <c r="X713" t="s">
        <v>10300</v>
      </c>
      <c r="Y713" t="s">
        <v>10301</v>
      </c>
      <c r="Z713" t="s">
        <v>10302</v>
      </c>
      <c r="AA713" t="s">
        <v>10303</v>
      </c>
      <c r="AB713" t="s">
        <v>10304</v>
      </c>
      <c r="AC713" t="s">
        <v>74</v>
      </c>
      <c r="AD713" t="s">
        <v>74</v>
      </c>
      <c r="AE713" t="s">
        <v>74</v>
      </c>
      <c r="AF713" t="s">
        <v>74</v>
      </c>
      <c r="AG713">
        <v>35</v>
      </c>
      <c r="AH713">
        <v>42</v>
      </c>
      <c r="AI713">
        <v>46</v>
      </c>
      <c r="AJ713">
        <v>0</v>
      </c>
      <c r="AK713">
        <v>14</v>
      </c>
      <c r="AL713" t="s">
        <v>213</v>
      </c>
      <c r="AM713" t="s">
        <v>5925</v>
      </c>
      <c r="AN713" t="s">
        <v>5926</v>
      </c>
      <c r="AO713" t="s">
        <v>5927</v>
      </c>
      <c r="AP713" t="s">
        <v>74</v>
      </c>
      <c r="AQ713" t="s">
        <v>74</v>
      </c>
      <c r="AR713" t="s">
        <v>7848</v>
      </c>
      <c r="AS713" t="s">
        <v>74</v>
      </c>
      <c r="AT713" t="s">
        <v>74</v>
      </c>
      <c r="AU713">
        <v>2004</v>
      </c>
      <c r="AV713">
        <v>33</v>
      </c>
      <c r="AW713">
        <v>1</v>
      </c>
      <c r="AX713" t="s">
        <v>74</v>
      </c>
      <c r="AY713" t="s">
        <v>74</v>
      </c>
      <c r="AZ713" t="s">
        <v>74</v>
      </c>
      <c r="BA713" t="s">
        <v>74</v>
      </c>
      <c r="BB713">
        <v>106</v>
      </c>
      <c r="BC713">
        <v>113</v>
      </c>
      <c r="BD713" t="s">
        <v>74</v>
      </c>
      <c r="BE713" t="s">
        <v>10305</v>
      </c>
      <c r="BF713" t="str">
        <f>HYPERLINK("http://dx.doi.org/10.1016/j.asr.2003.02.011","http://dx.doi.org/10.1016/j.asr.2003.02.011")</f>
        <v>http://dx.doi.org/10.1016/j.asr.2003.02.011</v>
      </c>
      <c r="BG713" t="s">
        <v>74</v>
      </c>
      <c r="BH713" t="s">
        <v>74</v>
      </c>
      <c r="BI713">
        <v>8</v>
      </c>
      <c r="BJ713" t="s">
        <v>10306</v>
      </c>
      <c r="BK713" t="s">
        <v>1116</v>
      </c>
      <c r="BL713" t="s">
        <v>10307</v>
      </c>
      <c r="BM713" t="s">
        <v>10308</v>
      </c>
      <c r="BN713" t="s">
        <v>74</v>
      </c>
      <c r="BO713" t="s">
        <v>74</v>
      </c>
      <c r="BP713" t="s">
        <v>74</v>
      </c>
      <c r="BQ713" t="s">
        <v>74</v>
      </c>
      <c r="BR713" t="s">
        <v>99</v>
      </c>
      <c r="BS713" t="s">
        <v>10309</v>
      </c>
      <c r="BT713" t="str">
        <f>HYPERLINK("https%3A%2F%2Fwww.webofscience.com%2Fwos%2Fwoscc%2Ffull-record%2FWOS:000189505400016","View Full Record in Web of Science")</f>
        <v>View Full Record in Web of Science</v>
      </c>
    </row>
    <row r="714" spans="1:72" x14ac:dyDescent="0.15">
      <c r="A714" t="s">
        <v>497</v>
      </c>
      <c r="B714" t="s">
        <v>10310</v>
      </c>
      <c r="C714" t="s">
        <v>74</v>
      </c>
      <c r="D714" t="s">
        <v>10311</v>
      </c>
      <c r="E714" t="s">
        <v>74</v>
      </c>
      <c r="F714" t="s">
        <v>10310</v>
      </c>
      <c r="G714" t="s">
        <v>74</v>
      </c>
      <c r="H714" t="s">
        <v>74</v>
      </c>
      <c r="I714" t="s">
        <v>10312</v>
      </c>
      <c r="J714" t="s">
        <v>10313</v>
      </c>
      <c r="K714" t="s">
        <v>7834</v>
      </c>
      <c r="L714" t="s">
        <v>74</v>
      </c>
      <c r="M714" t="s">
        <v>77</v>
      </c>
      <c r="N714" t="s">
        <v>311</v>
      </c>
      <c r="O714" t="s">
        <v>5916</v>
      </c>
      <c r="P714" t="s">
        <v>5917</v>
      </c>
      <c r="Q714" t="s">
        <v>5918</v>
      </c>
      <c r="R714" t="s">
        <v>74</v>
      </c>
      <c r="S714" t="s">
        <v>74</v>
      </c>
      <c r="T714" t="s">
        <v>10314</v>
      </c>
      <c r="U714" t="s">
        <v>10315</v>
      </c>
      <c r="V714" t="s">
        <v>10316</v>
      </c>
      <c r="W714" t="s">
        <v>10317</v>
      </c>
      <c r="X714" t="s">
        <v>10318</v>
      </c>
      <c r="Y714" t="s">
        <v>10319</v>
      </c>
      <c r="Z714" t="s">
        <v>10320</v>
      </c>
      <c r="AA714" t="s">
        <v>74</v>
      </c>
      <c r="AB714" t="s">
        <v>10321</v>
      </c>
      <c r="AC714" t="s">
        <v>74</v>
      </c>
      <c r="AD714" t="s">
        <v>74</v>
      </c>
      <c r="AE714" t="s">
        <v>74</v>
      </c>
      <c r="AF714" t="s">
        <v>74</v>
      </c>
      <c r="AG714">
        <v>23</v>
      </c>
      <c r="AH714">
        <v>8</v>
      </c>
      <c r="AI714">
        <v>8</v>
      </c>
      <c r="AJ714">
        <v>1</v>
      </c>
      <c r="AK714">
        <v>3</v>
      </c>
      <c r="AL714" t="s">
        <v>213</v>
      </c>
      <c r="AM714" t="s">
        <v>5925</v>
      </c>
      <c r="AN714" t="s">
        <v>5926</v>
      </c>
      <c r="AO714" t="s">
        <v>5927</v>
      </c>
      <c r="AP714" t="s">
        <v>74</v>
      </c>
      <c r="AQ714" t="s">
        <v>74</v>
      </c>
      <c r="AR714" t="s">
        <v>7848</v>
      </c>
      <c r="AS714" t="s">
        <v>74</v>
      </c>
      <c r="AT714" t="s">
        <v>74</v>
      </c>
      <c r="AU714">
        <v>2004</v>
      </c>
      <c r="AV714">
        <v>34</v>
      </c>
      <c r="AW714">
        <v>10</v>
      </c>
      <c r="AX714" t="s">
        <v>74</v>
      </c>
      <c r="AY714" t="s">
        <v>74</v>
      </c>
      <c r="AZ714" t="s">
        <v>74</v>
      </c>
      <c r="BA714" t="s">
        <v>74</v>
      </c>
      <c r="BB714">
        <v>2221</v>
      </c>
      <c r="BC714">
        <v>2226</v>
      </c>
      <c r="BD714" t="s">
        <v>74</v>
      </c>
      <c r="BE714" t="s">
        <v>10322</v>
      </c>
      <c r="BF714" t="str">
        <f>HYPERLINK("http://dx.doi.org/10.1016/j.asr.2003.07.058","http://dx.doi.org/10.1016/j.asr.2003.07.058")</f>
        <v>http://dx.doi.org/10.1016/j.asr.2003.07.058</v>
      </c>
      <c r="BG714" t="s">
        <v>74</v>
      </c>
      <c r="BH714" t="s">
        <v>74</v>
      </c>
      <c r="BI714">
        <v>6</v>
      </c>
      <c r="BJ714" t="s">
        <v>10323</v>
      </c>
      <c r="BK714" t="s">
        <v>1116</v>
      </c>
      <c r="BL714" t="s">
        <v>10324</v>
      </c>
      <c r="BM714" t="s">
        <v>10325</v>
      </c>
      <c r="BN714" t="s">
        <v>74</v>
      </c>
      <c r="BO714" t="s">
        <v>479</v>
      </c>
      <c r="BP714" t="s">
        <v>74</v>
      </c>
      <c r="BQ714" t="s">
        <v>74</v>
      </c>
      <c r="BR714" t="s">
        <v>99</v>
      </c>
      <c r="BS714" t="s">
        <v>10326</v>
      </c>
      <c r="BT714" t="str">
        <f>HYPERLINK("https%3A%2F%2Fwww.webofscience.com%2Fwos%2Fwoscc%2Ffull-record%2FWOS:000226378300020","View Full Record in Web of Science")</f>
        <v>View Full Record in Web of Science</v>
      </c>
    </row>
    <row r="715" spans="1:72" x14ac:dyDescent="0.15">
      <c r="A715" t="s">
        <v>72</v>
      </c>
      <c r="B715" t="s">
        <v>10327</v>
      </c>
      <c r="C715" t="s">
        <v>74</v>
      </c>
      <c r="D715" t="s">
        <v>74</v>
      </c>
      <c r="E715" t="s">
        <v>74</v>
      </c>
      <c r="F715" t="s">
        <v>10327</v>
      </c>
      <c r="G715" t="s">
        <v>74</v>
      </c>
      <c r="H715" t="s">
        <v>74</v>
      </c>
      <c r="I715" t="s">
        <v>10328</v>
      </c>
      <c r="J715" t="s">
        <v>10329</v>
      </c>
      <c r="K715" t="s">
        <v>74</v>
      </c>
      <c r="L715" t="s">
        <v>74</v>
      </c>
      <c r="M715" t="s">
        <v>77</v>
      </c>
      <c r="N715" t="s">
        <v>268</v>
      </c>
      <c r="O715" t="s">
        <v>74</v>
      </c>
      <c r="P715" t="s">
        <v>74</v>
      </c>
      <c r="Q715" t="s">
        <v>74</v>
      </c>
      <c r="R715" t="s">
        <v>74</v>
      </c>
      <c r="S715" t="s">
        <v>74</v>
      </c>
      <c r="T715" t="s">
        <v>74</v>
      </c>
      <c r="U715" t="s">
        <v>10330</v>
      </c>
      <c r="V715" t="s">
        <v>10331</v>
      </c>
      <c r="W715" t="s">
        <v>10332</v>
      </c>
      <c r="X715" t="s">
        <v>10333</v>
      </c>
      <c r="Y715" t="s">
        <v>4779</v>
      </c>
      <c r="Z715" t="s">
        <v>10334</v>
      </c>
      <c r="AA715" t="s">
        <v>10335</v>
      </c>
      <c r="AB715" t="s">
        <v>10336</v>
      </c>
      <c r="AC715" t="s">
        <v>74</v>
      </c>
      <c r="AD715" t="s">
        <v>74</v>
      </c>
      <c r="AE715" t="s">
        <v>74</v>
      </c>
      <c r="AF715" t="s">
        <v>74</v>
      </c>
      <c r="AG715">
        <v>54</v>
      </c>
      <c r="AH715">
        <v>160</v>
      </c>
      <c r="AI715">
        <v>187</v>
      </c>
      <c r="AJ715">
        <v>0</v>
      </c>
      <c r="AK715">
        <v>21</v>
      </c>
      <c r="AL715" t="s">
        <v>86</v>
      </c>
      <c r="AM715" t="s">
        <v>3376</v>
      </c>
      <c r="AN715" t="s">
        <v>3377</v>
      </c>
      <c r="AO715" t="s">
        <v>10337</v>
      </c>
      <c r="AP715" t="s">
        <v>10338</v>
      </c>
      <c r="AQ715" t="s">
        <v>74</v>
      </c>
      <c r="AR715" t="s">
        <v>10339</v>
      </c>
      <c r="AS715" t="s">
        <v>10340</v>
      </c>
      <c r="AT715" t="s">
        <v>4117</v>
      </c>
      <c r="AU715">
        <v>2004</v>
      </c>
      <c r="AV715">
        <v>115</v>
      </c>
      <c r="AW715" t="s">
        <v>10341</v>
      </c>
      <c r="AX715" t="s">
        <v>74</v>
      </c>
      <c r="AY715" t="s">
        <v>74</v>
      </c>
      <c r="AZ715" t="s">
        <v>74</v>
      </c>
      <c r="BA715" t="s">
        <v>74</v>
      </c>
      <c r="BB715">
        <v>71</v>
      </c>
      <c r="BC715">
        <v>110</v>
      </c>
      <c r="BD715" t="s">
        <v>74</v>
      </c>
      <c r="BE715" t="s">
        <v>10342</v>
      </c>
      <c r="BF715" t="str">
        <f>HYPERLINK("http://dx.doi.org/10.1007/s11214-004-1438-9","http://dx.doi.org/10.1007/s11214-004-1438-9")</f>
        <v>http://dx.doi.org/10.1007/s11214-004-1438-9</v>
      </c>
      <c r="BG715" t="s">
        <v>74</v>
      </c>
      <c r="BH715" t="s">
        <v>74</v>
      </c>
      <c r="BI715">
        <v>40</v>
      </c>
      <c r="BJ715" t="s">
        <v>395</v>
      </c>
      <c r="BK715" t="s">
        <v>96</v>
      </c>
      <c r="BL715" t="s">
        <v>395</v>
      </c>
      <c r="BM715" t="s">
        <v>10343</v>
      </c>
      <c r="BN715" t="s">
        <v>74</v>
      </c>
      <c r="BO715" t="s">
        <v>74</v>
      </c>
      <c r="BP715" t="s">
        <v>74</v>
      </c>
      <c r="BQ715" t="s">
        <v>74</v>
      </c>
      <c r="BR715" t="s">
        <v>99</v>
      </c>
      <c r="BS715" t="s">
        <v>10344</v>
      </c>
      <c r="BT715" t="str">
        <f>HYPERLINK("https%3A%2F%2Fwww.webofscience.com%2Fwos%2Fwoscc%2Ffull-record%2FWOS:000227549900002","View Full Record in Web of Science")</f>
        <v>View Full Record in Web of Science</v>
      </c>
    </row>
    <row r="716" spans="1:72" x14ac:dyDescent="0.15">
      <c r="A716" t="s">
        <v>3934</v>
      </c>
      <c r="B716" t="s">
        <v>10345</v>
      </c>
      <c r="C716" t="s">
        <v>74</v>
      </c>
      <c r="D716" t="s">
        <v>10346</v>
      </c>
      <c r="E716" t="s">
        <v>74</v>
      </c>
      <c r="F716" t="s">
        <v>10345</v>
      </c>
      <c r="G716" t="s">
        <v>74</v>
      </c>
      <c r="H716" t="s">
        <v>74</v>
      </c>
      <c r="I716" t="s">
        <v>10347</v>
      </c>
      <c r="J716" t="s">
        <v>10348</v>
      </c>
      <c r="K716" t="s">
        <v>6994</v>
      </c>
      <c r="L716" t="s">
        <v>74</v>
      </c>
      <c r="M716" t="s">
        <v>77</v>
      </c>
      <c r="N716" t="s">
        <v>3940</v>
      </c>
      <c r="O716" t="s">
        <v>10349</v>
      </c>
      <c r="P716" t="s">
        <v>10350</v>
      </c>
      <c r="Q716" t="s">
        <v>10351</v>
      </c>
      <c r="R716" t="s">
        <v>74</v>
      </c>
      <c r="S716" t="s">
        <v>74</v>
      </c>
      <c r="T716" t="s">
        <v>74</v>
      </c>
      <c r="U716" t="s">
        <v>10352</v>
      </c>
      <c r="V716" t="s">
        <v>10353</v>
      </c>
      <c r="W716" t="s">
        <v>10354</v>
      </c>
      <c r="X716" t="s">
        <v>10355</v>
      </c>
      <c r="Y716" t="s">
        <v>10356</v>
      </c>
      <c r="Z716" t="s">
        <v>74</v>
      </c>
      <c r="AA716" t="s">
        <v>74</v>
      </c>
      <c r="AB716" t="s">
        <v>74</v>
      </c>
      <c r="AC716" t="s">
        <v>74</v>
      </c>
      <c r="AD716" t="s">
        <v>74</v>
      </c>
      <c r="AE716" t="s">
        <v>74</v>
      </c>
      <c r="AF716" t="s">
        <v>74</v>
      </c>
      <c r="AG716">
        <v>81</v>
      </c>
      <c r="AH716">
        <v>39</v>
      </c>
      <c r="AI716">
        <v>42</v>
      </c>
      <c r="AJ716">
        <v>1</v>
      </c>
      <c r="AK716">
        <v>15</v>
      </c>
      <c r="AL716" t="s">
        <v>363</v>
      </c>
      <c r="AM716" t="s">
        <v>364</v>
      </c>
      <c r="AN716" t="s">
        <v>365</v>
      </c>
      <c r="AO716" t="s">
        <v>7006</v>
      </c>
      <c r="AP716" t="s">
        <v>74</v>
      </c>
      <c r="AQ716" t="s">
        <v>10357</v>
      </c>
      <c r="AR716" t="s">
        <v>7008</v>
      </c>
      <c r="AS716" t="s">
        <v>74</v>
      </c>
      <c r="AT716" t="s">
        <v>74</v>
      </c>
      <c r="AU716">
        <v>2004</v>
      </c>
      <c r="AV716">
        <v>150</v>
      </c>
      <c r="AW716" t="s">
        <v>74</v>
      </c>
      <c r="AX716" t="s">
        <v>74</v>
      </c>
      <c r="AY716" t="s">
        <v>74</v>
      </c>
      <c r="AZ716" t="s">
        <v>74</v>
      </c>
      <c r="BA716" t="s">
        <v>74</v>
      </c>
      <c r="BB716">
        <v>239</v>
      </c>
      <c r="BC716">
        <v>257</v>
      </c>
      <c r="BD716" t="s">
        <v>74</v>
      </c>
      <c r="BE716" t="s">
        <v>10358</v>
      </c>
      <c r="BF716" t="str">
        <f>HYPERLINK("http://dx.doi.org/10.1029/150GM19","http://dx.doi.org/10.1029/150GM19")</f>
        <v>http://dx.doi.org/10.1029/150GM19</v>
      </c>
      <c r="BG716" t="s">
        <v>74</v>
      </c>
      <c r="BH716" t="s">
        <v>74</v>
      </c>
      <c r="BI716">
        <v>19</v>
      </c>
      <c r="BJ716" t="s">
        <v>262</v>
      </c>
      <c r="BK716" t="s">
        <v>3955</v>
      </c>
      <c r="BL716" t="s">
        <v>262</v>
      </c>
      <c r="BM716" t="s">
        <v>10359</v>
      </c>
      <c r="BN716" t="s">
        <v>74</v>
      </c>
      <c r="BO716" t="s">
        <v>74</v>
      </c>
      <c r="BP716" t="s">
        <v>74</v>
      </c>
      <c r="BQ716" t="s">
        <v>74</v>
      </c>
      <c r="BR716" t="s">
        <v>99</v>
      </c>
      <c r="BS716" t="s">
        <v>10360</v>
      </c>
      <c r="BT716" t="str">
        <f>HYPERLINK("https%3A%2F%2Fwww.webofscience.com%2Fwos%2Fwoscc%2Ffull-record%2FWOS:000226692700018","View Full Record in Web of Science")</f>
        <v>View Full Record in Web of Science</v>
      </c>
    </row>
    <row r="717" spans="1:72" x14ac:dyDescent="0.15">
      <c r="A717" t="s">
        <v>3934</v>
      </c>
      <c r="B717" t="s">
        <v>10361</v>
      </c>
      <c r="C717" t="s">
        <v>74</v>
      </c>
      <c r="D717" t="s">
        <v>10346</v>
      </c>
      <c r="E717" t="s">
        <v>74</v>
      </c>
      <c r="F717" t="s">
        <v>10361</v>
      </c>
      <c r="G717" t="s">
        <v>74</v>
      </c>
      <c r="H717" t="s">
        <v>74</v>
      </c>
      <c r="I717" t="s">
        <v>10362</v>
      </c>
      <c r="J717" t="s">
        <v>10348</v>
      </c>
      <c r="K717" t="s">
        <v>6994</v>
      </c>
      <c r="L717" t="s">
        <v>74</v>
      </c>
      <c r="M717" t="s">
        <v>77</v>
      </c>
      <c r="N717" t="s">
        <v>3940</v>
      </c>
      <c r="O717" t="s">
        <v>10349</v>
      </c>
      <c r="P717" t="s">
        <v>10350</v>
      </c>
      <c r="Q717" t="s">
        <v>10351</v>
      </c>
      <c r="R717" t="s">
        <v>74</v>
      </c>
      <c r="S717" t="s">
        <v>74</v>
      </c>
      <c r="T717" t="s">
        <v>74</v>
      </c>
      <c r="U717" t="s">
        <v>10363</v>
      </c>
      <c r="V717" t="s">
        <v>10364</v>
      </c>
      <c r="W717" t="s">
        <v>10365</v>
      </c>
      <c r="X717" t="s">
        <v>10366</v>
      </c>
      <c r="Y717" t="s">
        <v>10367</v>
      </c>
      <c r="Z717" t="s">
        <v>10368</v>
      </c>
      <c r="AA717" t="s">
        <v>10369</v>
      </c>
      <c r="AB717" t="s">
        <v>10370</v>
      </c>
      <c r="AC717" t="s">
        <v>74</v>
      </c>
      <c r="AD717" t="s">
        <v>74</v>
      </c>
      <c r="AE717" t="s">
        <v>74</v>
      </c>
      <c r="AF717" t="s">
        <v>74</v>
      </c>
      <c r="AG717">
        <v>128</v>
      </c>
      <c r="AH717">
        <v>4</v>
      </c>
      <c r="AI717">
        <v>4</v>
      </c>
      <c r="AJ717">
        <v>0</v>
      </c>
      <c r="AK717">
        <v>5</v>
      </c>
      <c r="AL717" t="s">
        <v>363</v>
      </c>
      <c r="AM717" t="s">
        <v>364</v>
      </c>
      <c r="AN717" t="s">
        <v>365</v>
      </c>
      <c r="AO717" t="s">
        <v>7006</v>
      </c>
      <c r="AP717" t="s">
        <v>74</v>
      </c>
      <c r="AQ717" t="s">
        <v>10357</v>
      </c>
      <c r="AR717" t="s">
        <v>7008</v>
      </c>
      <c r="AS717" t="s">
        <v>74</v>
      </c>
      <c r="AT717" t="s">
        <v>74</v>
      </c>
      <c r="AU717">
        <v>2004</v>
      </c>
      <c r="AV717">
        <v>150</v>
      </c>
      <c r="AW717" t="s">
        <v>74</v>
      </c>
      <c r="AX717" t="s">
        <v>74</v>
      </c>
      <c r="AY717" t="s">
        <v>74</v>
      </c>
      <c r="AZ717" t="s">
        <v>74</v>
      </c>
      <c r="BA717" t="s">
        <v>74</v>
      </c>
      <c r="BB717">
        <v>279</v>
      </c>
      <c r="BC717">
        <v>296</v>
      </c>
      <c r="BD717" t="s">
        <v>74</v>
      </c>
      <c r="BE717" t="s">
        <v>10371</v>
      </c>
      <c r="BF717" t="str">
        <f>HYPERLINK("http://dx.doi.org/10.1021/150GM22","http://dx.doi.org/10.1021/150GM22")</f>
        <v>http://dx.doi.org/10.1021/150GM22</v>
      </c>
      <c r="BG717" t="s">
        <v>74</v>
      </c>
      <c r="BH717" t="s">
        <v>74</v>
      </c>
      <c r="BI717">
        <v>18</v>
      </c>
      <c r="BJ717" t="s">
        <v>262</v>
      </c>
      <c r="BK717" t="s">
        <v>3955</v>
      </c>
      <c r="BL717" t="s">
        <v>262</v>
      </c>
      <c r="BM717" t="s">
        <v>10359</v>
      </c>
      <c r="BN717" t="s">
        <v>74</v>
      </c>
      <c r="BO717" t="s">
        <v>74</v>
      </c>
      <c r="BP717" t="s">
        <v>74</v>
      </c>
      <c r="BQ717" t="s">
        <v>74</v>
      </c>
      <c r="BR717" t="s">
        <v>99</v>
      </c>
      <c r="BS717" t="s">
        <v>10372</v>
      </c>
      <c r="BT717" t="str">
        <f>HYPERLINK("https%3A%2F%2Fwww.webofscience.com%2Fwos%2Fwoscc%2Ffull-record%2FWOS:000226692700021","View Full Record in Web of Science")</f>
        <v>View Full Record in Web of Science</v>
      </c>
    </row>
    <row r="718" spans="1:72" x14ac:dyDescent="0.15">
      <c r="A718" t="s">
        <v>497</v>
      </c>
      <c r="B718" t="s">
        <v>10373</v>
      </c>
      <c r="C718" t="s">
        <v>74</v>
      </c>
      <c r="D718" t="s">
        <v>10374</v>
      </c>
      <c r="E718" t="s">
        <v>74</v>
      </c>
      <c r="F718" t="s">
        <v>10373</v>
      </c>
      <c r="G718" t="s">
        <v>74</v>
      </c>
      <c r="H718" t="s">
        <v>74</v>
      </c>
      <c r="I718" t="s">
        <v>10375</v>
      </c>
      <c r="J718" t="s">
        <v>10376</v>
      </c>
      <c r="K718" t="s">
        <v>7834</v>
      </c>
      <c r="L718" t="s">
        <v>74</v>
      </c>
      <c r="M718" t="s">
        <v>77</v>
      </c>
      <c r="N718" t="s">
        <v>311</v>
      </c>
      <c r="O718" t="s">
        <v>5916</v>
      </c>
      <c r="P718" t="s">
        <v>5917</v>
      </c>
      <c r="Q718" t="s">
        <v>5918</v>
      </c>
      <c r="R718" t="s">
        <v>74</v>
      </c>
      <c r="S718" t="s">
        <v>74</v>
      </c>
      <c r="T718" t="s">
        <v>10377</v>
      </c>
      <c r="U718" t="s">
        <v>10378</v>
      </c>
      <c r="V718" t="s">
        <v>10379</v>
      </c>
      <c r="W718" t="s">
        <v>10380</v>
      </c>
      <c r="X718" t="s">
        <v>1912</v>
      </c>
      <c r="Y718" t="s">
        <v>10381</v>
      </c>
      <c r="Z718" t="s">
        <v>9498</v>
      </c>
      <c r="AA718" t="s">
        <v>74</v>
      </c>
      <c r="AB718" t="s">
        <v>74</v>
      </c>
      <c r="AC718" t="s">
        <v>74</v>
      </c>
      <c r="AD718" t="s">
        <v>74</v>
      </c>
      <c r="AE718" t="s">
        <v>74</v>
      </c>
      <c r="AF718" t="s">
        <v>74</v>
      </c>
      <c r="AG718">
        <v>30</v>
      </c>
      <c r="AH718">
        <v>7</v>
      </c>
      <c r="AI718">
        <v>7</v>
      </c>
      <c r="AJ718">
        <v>0</v>
      </c>
      <c r="AK718">
        <v>3</v>
      </c>
      <c r="AL718" t="s">
        <v>213</v>
      </c>
      <c r="AM718" t="s">
        <v>5925</v>
      </c>
      <c r="AN718" t="s">
        <v>5926</v>
      </c>
      <c r="AO718" t="s">
        <v>5927</v>
      </c>
      <c r="AP718" t="s">
        <v>74</v>
      </c>
      <c r="AQ718" t="s">
        <v>74</v>
      </c>
      <c r="AR718" t="s">
        <v>7848</v>
      </c>
      <c r="AS718" t="s">
        <v>74</v>
      </c>
      <c r="AT718" t="s">
        <v>74</v>
      </c>
      <c r="AU718">
        <v>2004</v>
      </c>
      <c r="AV718">
        <v>33</v>
      </c>
      <c r="AW718">
        <v>5</v>
      </c>
      <c r="AX718" t="s">
        <v>74</v>
      </c>
      <c r="AY718" t="s">
        <v>74</v>
      </c>
      <c r="AZ718" t="s">
        <v>74</v>
      </c>
      <c r="BA718" t="s">
        <v>74</v>
      </c>
      <c r="BB718">
        <v>729</v>
      </c>
      <c r="BC718">
        <v>736</v>
      </c>
      <c r="BD718" t="s">
        <v>74</v>
      </c>
      <c r="BE718" t="s">
        <v>10382</v>
      </c>
      <c r="BF718" t="str">
        <f>HYPERLINK("http://dx.doi.org/10.1016/S0273-1177(03)00637-9","http://dx.doi.org/10.1016/S0273-1177(03)00637-9")</f>
        <v>http://dx.doi.org/10.1016/S0273-1177(03)00637-9</v>
      </c>
      <c r="BG718" t="s">
        <v>74</v>
      </c>
      <c r="BH718" t="s">
        <v>74</v>
      </c>
      <c r="BI718">
        <v>8</v>
      </c>
      <c r="BJ718" t="s">
        <v>7850</v>
      </c>
      <c r="BK718" t="s">
        <v>1116</v>
      </c>
      <c r="BL718" t="s">
        <v>7851</v>
      </c>
      <c r="BM718" t="s">
        <v>10383</v>
      </c>
      <c r="BN718" t="s">
        <v>74</v>
      </c>
      <c r="BO718" t="s">
        <v>74</v>
      </c>
      <c r="BP718" t="s">
        <v>74</v>
      </c>
      <c r="BQ718" t="s">
        <v>74</v>
      </c>
      <c r="BR718" t="s">
        <v>99</v>
      </c>
      <c r="BS718" t="s">
        <v>10384</v>
      </c>
      <c r="BT718" t="str">
        <f>HYPERLINK("https%3A%2F%2Fwww.webofscience.com%2Fwos%2Fwoscc%2Ffull-record%2FWOS:000221642000010","View Full Record in Web of Science")</f>
        <v>View Full Record in Web of Science</v>
      </c>
    </row>
    <row r="719" spans="1:72" x14ac:dyDescent="0.15">
      <c r="A719" t="s">
        <v>72</v>
      </c>
      <c r="B719" t="s">
        <v>10385</v>
      </c>
      <c r="C719" t="s">
        <v>74</v>
      </c>
      <c r="D719" t="s">
        <v>74</v>
      </c>
      <c r="E719" t="s">
        <v>74</v>
      </c>
      <c r="F719" t="s">
        <v>10385</v>
      </c>
      <c r="G719" t="s">
        <v>74</v>
      </c>
      <c r="H719" t="s">
        <v>74</v>
      </c>
      <c r="I719" t="s">
        <v>10386</v>
      </c>
      <c r="J719" t="s">
        <v>10387</v>
      </c>
      <c r="K719" t="s">
        <v>74</v>
      </c>
      <c r="L719" t="s">
        <v>74</v>
      </c>
      <c r="M719" t="s">
        <v>77</v>
      </c>
      <c r="N719" t="s">
        <v>10388</v>
      </c>
      <c r="O719" t="s">
        <v>74</v>
      </c>
      <c r="P719" t="s">
        <v>74</v>
      </c>
      <c r="Q719" t="s">
        <v>74</v>
      </c>
      <c r="R719" t="s">
        <v>74</v>
      </c>
      <c r="S719" t="s">
        <v>74</v>
      </c>
      <c r="T719" t="s">
        <v>74</v>
      </c>
      <c r="U719" t="s">
        <v>74</v>
      </c>
      <c r="V719" t="s">
        <v>74</v>
      </c>
      <c r="W719" t="s">
        <v>10389</v>
      </c>
      <c r="X719" t="s">
        <v>7980</v>
      </c>
      <c r="Y719" t="s">
        <v>10390</v>
      </c>
      <c r="Z719" t="s">
        <v>74</v>
      </c>
      <c r="AA719" t="s">
        <v>74</v>
      </c>
      <c r="AB719" t="s">
        <v>74</v>
      </c>
      <c r="AC719" t="s">
        <v>74</v>
      </c>
      <c r="AD719" t="s">
        <v>74</v>
      </c>
      <c r="AE719" t="s">
        <v>74</v>
      </c>
      <c r="AF719" t="s">
        <v>74</v>
      </c>
      <c r="AG719">
        <v>4</v>
      </c>
      <c r="AH719">
        <v>0</v>
      </c>
      <c r="AI719">
        <v>0</v>
      </c>
      <c r="AJ719">
        <v>0</v>
      </c>
      <c r="AK719">
        <v>1</v>
      </c>
      <c r="AL719" t="s">
        <v>136</v>
      </c>
      <c r="AM719" t="s">
        <v>87</v>
      </c>
      <c r="AN719" t="s">
        <v>163</v>
      </c>
      <c r="AO719" t="s">
        <v>10391</v>
      </c>
      <c r="AP719" t="s">
        <v>74</v>
      </c>
      <c r="AQ719" t="s">
        <v>74</v>
      </c>
      <c r="AR719" t="s">
        <v>10387</v>
      </c>
      <c r="AS719" t="s">
        <v>10392</v>
      </c>
      <c r="AT719" t="s">
        <v>4117</v>
      </c>
      <c r="AU719">
        <v>2004</v>
      </c>
      <c r="AV719">
        <v>227</v>
      </c>
      <c r="AW719" t="s">
        <v>74</v>
      </c>
      <c r="AX719" t="s">
        <v>74</v>
      </c>
      <c r="AY719" t="s">
        <v>74</v>
      </c>
      <c r="AZ719" t="s">
        <v>74</v>
      </c>
      <c r="BA719" t="s">
        <v>74</v>
      </c>
      <c r="BB719">
        <v>85</v>
      </c>
      <c r="BC719">
        <v>90</v>
      </c>
      <c r="BD719" t="s">
        <v>74</v>
      </c>
      <c r="BE719" t="s">
        <v>74</v>
      </c>
      <c r="BF719" t="s">
        <v>74</v>
      </c>
      <c r="BG719" t="s">
        <v>74</v>
      </c>
      <c r="BH719" t="s">
        <v>74</v>
      </c>
      <c r="BI719">
        <v>6</v>
      </c>
      <c r="BJ719" t="s">
        <v>10393</v>
      </c>
      <c r="BK719" t="s">
        <v>10394</v>
      </c>
      <c r="BL719" t="s">
        <v>10393</v>
      </c>
      <c r="BM719" t="s">
        <v>10395</v>
      </c>
      <c r="BN719" t="s">
        <v>74</v>
      </c>
      <c r="BO719" t="s">
        <v>74</v>
      </c>
      <c r="BP719" t="s">
        <v>74</v>
      </c>
      <c r="BQ719" t="s">
        <v>74</v>
      </c>
      <c r="BR719" t="s">
        <v>99</v>
      </c>
      <c r="BS719" t="s">
        <v>10396</v>
      </c>
      <c r="BT719" t="str">
        <f>HYPERLINK("https%3A%2F%2Fwww.webofscience.com%2Fwos%2Fwoscc%2Ffull-record%2FWOS:000220544200041","View Full Record in Web of Science")</f>
        <v>View Full Record in Web of Science</v>
      </c>
    </row>
    <row r="720" spans="1:72" x14ac:dyDescent="0.15">
      <c r="A720" t="s">
        <v>3934</v>
      </c>
      <c r="B720" t="s">
        <v>10397</v>
      </c>
      <c r="C720" t="s">
        <v>74</v>
      </c>
      <c r="D720" t="s">
        <v>10398</v>
      </c>
      <c r="E720" t="s">
        <v>74</v>
      </c>
      <c r="F720" t="s">
        <v>10397</v>
      </c>
      <c r="G720" t="s">
        <v>74</v>
      </c>
      <c r="H720" t="s">
        <v>74</v>
      </c>
      <c r="I720" t="s">
        <v>10399</v>
      </c>
      <c r="J720" t="s">
        <v>10400</v>
      </c>
      <c r="K720" t="s">
        <v>7533</v>
      </c>
      <c r="L720" t="s">
        <v>74</v>
      </c>
      <c r="M720" t="s">
        <v>77</v>
      </c>
      <c r="N720" t="s">
        <v>3940</v>
      </c>
      <c r="O720" t="s">
        <v>10401</v>
      </c>
      <c r="P720" t="s">
        <v>10402</v>
      </c>
      <c r="Q720" t="s">
        <v>10403</v>
      </c>
      <c r="R720" t="s">
        <v>74</v>
      </c>
      <c r="S720" t="s">
        <v>74</v>
      </c>
      <c r="T720" t="s">
        <v>10404</v>
      </c>
      <c r="U720" t="s">
        <v>10405</v>
      </c>
      <c r="V720" t="s">
        <v>10406</v>
      </c>
      <c r="W720" t="s">
        <v>10407</v>
      </c>
      <c r="X720" t="s">
        <v>10408</v>
      </c>
      <c r="Y720" t="s">
        <v>10409</v>
      </c>
      <c r="Z720" t="s">
        <v>10410</v>
      </c>
      <c r="AA720" t="s">
        <v>10411</v>
      </c>
      <c r="AB720" t="s">
        <v>10412</v>
      </c>
      <c r="AC720" t="s">
        <v>74</v>
      </c>
      <c r="AD720" t="s">
        <v>74</v>
      </c>
      <c r="AE720" t="s">
        <v>74</v>
      </c>
      <c r="AF720" t="s">
        <v>74</v>
      </c>
      <c r="AG720">
        <v>11</v>
      </c>
      <c r="AH720">
        <v>0</v>
      </c>
      <c r="AI720">
        <v>1</v>
      </c>
      <c r="AJ720">
        <v>0</v>
      </c>
      <c r="AK720">
        <v>0</v>
      </c>
      <c r="AL720" t="s">
        <v>7542</v>
      </c>
      <c r="AM720" t="s">
        <v>7543</v>
      </c>
      <c r="AN720" t="s">
        <v>7544</v>
      </c>
      <c r="AO720" t="s">
        <v>7545</v>
      </c>
      <c r="AP720" t="s">
        <v>7546</v>
      </c>
      <c r="AQ720" t="s">
        <v>10413</v>
      </c>
      <c r="AR720" t="s">
        <v>7548</v>
      </c>
      <c r="AS720" t="s">
        <v>74</v>
      </c>
      <c r="AT720" t="s">
        <v>74</v>
      </c>
      <c r="AU720">
        <v>2004</v>
      </c>
      <c r="AV720">
        <v>5397</v>
      </c>
      <c r="AW720" t="s">
        <v>74</v>
      </c>
      <c r="AX720" t="s">
        <v>74</v>
      </c>
      <c r="AY720" t="s">
        <v>74</v>
      </c>
      <c r="AZ720" t="s">
        <v>74</v>
      </c>
      <c r="BA720" t="s">
        <v>74</v>
      </c>
      <c r="BB720">
        <v>285</v>
      </c>
      <c r="BC720">
        <v>291</v>
      </c>
      <c r="BD720" t="s">
        <v>74</v>
      </c>
      <c r="BE720" t="s">
        <v>10414</v>
      </c>
      <c r="BF720" t="str">
        <f>HYPERLINK("http://dx.doi.org/10.1117/12.548656","http://dx.doi.org/10.1117/12.548656")</f>
        <v>http://dx.doi.org/10.1117/12.548656</v>
      </c>
      <c r="BG720" t="s">
        <v>74</v>
      </c>
      <c r="BH720" t="s">
        <v>74</v>
      </c>
      <c r="BI720">
        <v>7</v>
      </c>
      <c r="BJ720" t="s">
        <v>10415</v>
      </c>
      <c r="BK720" t="s">
        <v>3955</v>
      </c>
      <c r="BL720" t="s">
        <v>10416</v>
      </c>
      <c r="BM720" t="s">
        <v>10417</v>
      </c>
      <c r="BN720" t="s">
        <v>74</v>
      </c>
      <c r="BO720" t="s">
        <v>74</v>
      </c>
      <c r="BP720" t="s">
        <v>74</v>
      </c>
      <c r="BQ720" t="s">
        <v>74</v>
      </c>
      <c r="BR720" t="s">
        <v>99</v>
      </c>
      <c r="BS720" t="s">
        <v>10418</v>
      </c>
      <c r="BT720" t="str">
        <f>HYPERLINK("https%3A%2F%2Fwww.webofscience.com%2Fwos%2Fwoscc%2Ffull-record%2FWOS:000189465100040","View Full Record in Web of Science")</f>
        <v>View Full Record in Web of Science</v>
      </c>
    </row>
    <row r="721" spans="1:72" x14ac:dyDescent="0.15">
      <c r="A721" t="s">
        <v>497</v>
      </c>
      <c r="B721" t="s">
        <v>10419</v>
      </c>
      <c r="C721" t="s">
        <v>74</v>
      </c>
      <c r="D721" t="s">
        <v>10420</v>
      </c>
      <c r="E721" t="s">
        <v>74</v>
      </c>
      <c r="F721" t="s">
        <v>10419</v>
      </c>
      <c r="G721" t="s">
        <v>74</v>
      </c>
      <c r="H721" t="s">
        <v>74</v>
      </c>
      <c r="I721" t="s">
        <v>10421</v>
      </c>
      <c r="J721" t="s">
        <v>10422</v>
      </c>
      <c r="K721" t="s">
        <v>7834</v>
      </c>
      <c r="L721" t="s">
        <v>74</v>
      </c>
      <c r="M721" t="s">
        <v>77</v>
      </c>
      <c r="N721" t="s">
        <v>311</v>
      </c>
      <c r="O721" t="s">
        <v>5916</v>
      </c>
      <c r="P721" t="s">
        <v>5917</v>
      </c>
      <c r="Q721" t="s">
        <v>5918</v>
      </c>
      <c r="R721" t="s">
        <v>74</v>
      </c>
      <c r="S721" t="s">
        <v>74</v>
      </c>
      <c r="T721" t="s">
        <v>10423</v>
      </c>
      <c r="U721" t="s">
        <v>10424</v>
      </c>
      <c r="V721" t="s">
        <v>10425</v>
      </c>
      <c r="W721" t="s">
        <v>10426</v>
      </c>
      <c r="X721" t="s">
        <v>10427</v>
      </c>
      <c r="Y721" t="s">
        <v>10428</v>
      </c>
      <c r="Z721" t="s">
        <v>10429</v>
      </c>
      <c r="AA721" t="s">
        <v>10430</v>
      </c>
      <c r="AB721" t="s">
        <v>10431</v>
      </c>
      <c r="AC721" t="s">
        <v>74</v>
      </c>
      <c r="AD721" t="s">
        <v>74</v>
      </c>
      <c r="AE721" t="s">
        <v>74</v>
      </c>
      <c r="AF721" t="s">
        <v>74</v>
      </c>
      <c r="AG721">
        <v>18</v>
      </c>
      <c r="AH721">
        <v>25</v>
      </c>
      <c r="AI721">
        <v>27</v>
      </c>
      <c r="AJ721">
        <v>0</v>
      </c>
      <c r="AK721">
        <v>5</v>
      </c>
      <c r="AL721" t="s">
        <v>213</v>
      </c>
      <c r="AM721" t="s">
        <v>5925</v>
      </c>
      <c r="AN721" t="s">
        <v>5926</v>
      </c>
      <c r="AO721" t="s">
        <v>5927</v>
      </c>
      <c r="AP721" t="s">
        <v>74</v>
      </c>
      <c r="AQ721" t="s">
        <v>74</v>
      </c>
      <c r="AR721" t="s">
        <v>7848</v>
      </c>
      <c r="AS721" t="s">
        <v>74</v>
      </c>
      <c r="AT721" t="s">
        <v>74</v>
      </c>
      <c r="AU721">
        <v>2004</v>
      </c>
      <c r="AV721">
        <v>34</v>
      </c>
      <c r="AW721">
        <v>4</v>
      </c>
      <c r="AX721" t="s">
        <v>74</v>
      </c>
      <c r="AY721" t="s">
        <v>74</v>
      </c>
      <c r="AZ721">
        <v>2004</v>
      </c>
      <c r="BA721" t="s">
        <v>74</v>
      </c>
      <c r="BB721">
        <v>764</v>
      </c>
      <c r="BC721">
        <v>768</v>
      </c>
      <c r="BD721" t="s">
        <v>74</v>
      </c>
      <c r="BE721" t="s">
        <v>10432</v>
      </c>
      <c r="BF721" t="str">
        <f>HYPERLINK("http://dx.doi.org/10.1016/j.asr.2003.06.040","http://dx.doi.org/10.1016/j.asr.2003.06.040")</f>
        <v>http://dx.doi.org/10.1016/j.asr.2003.06.040</v>
      </c>
      <c r="BG721" t="s">
        <v>74</v>
      </c>
      <c r="BH721" t="s">
        <v>74</v>
      </c>
      <c r="BI721">
        <v>5</v>
      </c>
      <c r="BJ721" t="s">
        <v>10433</v>
      </c>
      <c r="BK721" t="s">
        <v>1116</v>
      </c>
      <c r="BL721" t="s">
        <v>10434</v>
      </c>
      <c r="BM721" t="s">
        <v>10435</v>
      </c>
      <c r="BN721" t="s">
        <v>74</v>
      </c>
      <c r="BO721" t="s">
        <v>74</v>
      </c>
      <c r="BP721" t="s">
        <v>74</v>
      </c>
      <c r="BQ721" t="s">
        <v>74</v>
      </c>
      <c r="BR721" t="s">
        <v>99</v>
      </c>
      <c r="BS721" t="s">
        <v>10436</v>
      </c>
      <c r="BT721" t="str">
        <f>HYPERLINK("https%3A%2F%2Fwww.webofscience.com%2Fwos%2Fwoscc%2Ffull-record%2FWOS:000223618200015","View Full Record in Web of Science")</f>
        <v>View Full Record in Web of Science</v>
      </c>
    </row>
    <row r="722" spans="1:72" x14ac:dyDescent="0.15">
      <c r="A722" t="s">
        <v>497</v>
      </c>
      <c r="B722" t="s">
        <v>10437</v>
      </c>
      <c r="C722" t="s">
        <v>74</v>
      </c>
      <c r="D722" t="s">
        <v>10420</v>
      </c>
      <c r="E722" t="s">
        <v>74</v>
      </c>
      <c r="F722" t="s">
        <v>10437</v>
      </c>
      <c r="G722" t="s">
        <v>74</v>
      </c>
      <c r="H722" t="s">
        <v>74</v>
      </c>
      <c r="I722" t="s">
        <v>10438</v>
      </c>
      <c r="J722" t="s">
        <v>10422</v>
      </c>
      <c r="K722" t="s">
        <v>5915</v>
      </c>
      <c r="L722" t="s">
        <v>74</v>
      </c>
      <c r="M722" t="s">
        <v>77</v>
      </c>
      <c r="N722" t="s">
        <v>311</v>
      </c>
      <c r="O722" t="s">
        <v>5916</v>
      </c>
      <c r="P722" t="s">
        <v>5917</v>
      </c>
      <c r="Q722" t="s">
        <v>5918</v>
      </c>
      <c r="R722" t="s">
        <v>74</v>
      </c>
      <c r="S722" t="s">
        <v>74</v>
      </c>
      <c r="T722" t="s">
        <v>74</v>
      </c>
      <c r="U722" t="s">
        <v>10439</v>
      </c>
      <c r="V722" t="s">
        <v>10440</v>
      </c>
      <c r="W722" t="s">
        <v>10441</v>
      </c>
      <c r="X722" t="s">
        <v>10442</v>
      </c>
      <c r="Y722" t="s">
        <v>10443</v>
      </c>
      <c r="Z722" t="s">
        <v>10444</v>
      </c>
      <c r="AA722" t="s">
        <v>10445</v>
      </c>
      <c r="AB722" t="s">
        <v>10446</v>
      </c>
      <c r="AC722" t="s">
        <v>74</v>
      </c>
      <c r="AD722" t="s">
        <v>74</v>
      </c>
      <c r="AE722" t="s">
        <v>74</v>
      </c>
      <c r="AF722" t="s">
        <v>74</v>
      </c>
      <c r="AG722">
        <v>19</v>
      </c>
      <c r="AH722">
        <v>33</v>
      </c>
      <c r="AI722">
        <v>36</v>
      </c>
      <c r="AJ722">
        <v>1</v>
      </c>
      <c r="AK722">
        <v>7</v>
      </c>
      <c r="AL722" t="s">
        <v>213</v>
      </c>
      <c r="AM722" t="s">
        <v>5925</v>
      </c>
      <c r="AN722" t="s">
        <v>5926</v>
      </c>
      <c r="AO722" t="s">
        <v>5927</v>
      </c>
      <c r="AP722" t="s">
        <v>74</v>
      </c>
      <c r="AQ722" t="s">
        <v>74</v>
      </c>
      <c r="AR722" t="s">
        <v>5928</v>
      </c>
      <c r="AS722" t="s">
        <v>74</v>
      </c>
      <c r="AT722" t="s">
        <v>74</v>
      </c>
      <c r="AU722">
        <v>2004</v>
      </c>
      <c r="AV722">
        <v>34</v>
      </c>
      <c r="AW722">
        <v>4</v>
      </c>
      <c r="AX722" t="s">
        <v>74</v>
      </c>
      <c r="AY722" t="s">
        <v>74</v>
      </c>
      <c r="AZ722">
        <v>2004</v>
      </c>
      <c r="BA722" t="s">
        <v>74</v>
      </c>
      <c r="BB722">
        <v>780</v>
      </c>
      <c r="BC722">
        <v>785</v>
      </c>
      <c r="BD722" t="s">
        <v>74</v>
      </c>
      <c r="BE722" t="s">
        <v>10447</v>
      </c>
      <c r="BF722" t="str">
        <f>HYPERLINK("http://dx.doi.org/10.1016/j.asr.2003.08.066","http://dx.doi.org/10.1016/j.asr.2003.08.066")</f>
        <v>http://dx.doi.org/10.1016/j.asr.2003.08.066</v>
      </c>
      <c r="BG722" t="s">
        <v>74</v>
      </c>
      <c r="BH722" t="s">
        <v>74</v>
      </c>
      <c r="BI722">
        <v>6</v>
      </c>
      <c r="BJ722" t="s">
        <v>10433</v>
      </c>
      <c r="BK722" t="s">
        <v>1116</v>
      </c>
      <c r="BL722" t="s">
        <v>10434</v>
      </c>
      <c r="BM722" t="s">
        <v>10435</v>
      </c>
      <c r="BN722" t="s">
        <v>74</v>
      </c>
      <c r="BO722" t="s">
        <v>74</v>
      </c>
      <c r="BP722" t="s">
        <v>74</v>
      </c>
      <c r="BQ722" t="s">
        <v>74</v>
      </c>
      <c r="BR722" t="s">
        <v>99</v>
      </c>
      <c r="BS722" t="s">
        <v>10448</v>
      </c>
      <c r="BT722" t="str">
        <f>HYPERLINK("https%3A%2F%2Fwww.webofscience.com%2Fwos%2Fwoscc%2Ffull-record%2FWOS:000223618200018","View Full Record in Web of Science")</f>
        <v>View Full Record in Web of Science</v>
      </c>
    </row>
    <row r="723" spans="1:72" x14ac:dyDescent="0.15">
      <c r="A723" t="s">
        <v>497</v>
      </c>
      <c r="B723" t="s">
        <v>10449</v>
      </c>
      <c r="C723" t="s">
        <v>74</v>
      </c>
      <c r="D723" t="s">
        <v>10420</v>
      </c>
      <c r="E723" t="s">
        <v>74</v>
      </c>
      <c r="F723" t="s">
        <v>10449</v>
      </c>
      <c r="G723" t="s">
        <v>74</v>
      </c>
      <c r="H723" t="s">
        <v>74</v>
      </c>
      <c r="I723" t="s">
        <v>10450</v>
      </c>
      <c r="J723" t="s">
        <v>10422</v>
      </c>
      <c r="K723" t="s">
        <v>7834</v>
      </c>
      <c r="L723" t="s">
        <v>74</v>
      </c>
      <c r="M723" t="s">
        <v>77</v>
      </c>
      <c r="N723" t="s">
        <v>311</v>
      </c>
      <c r="O723" t="s">
        <v>5916</v>
      </c>
      <c r="P723" t="s">
        <v>5917</v>
      </c>
      <c r="Q723" t="s">
        <v>5918</v>
      </c>
      <c r="R723" t="s">
        <v>74</v>
      </c>
      <c r="S723" t="s">
        <v>74</v>
      </c>
      <c r="T723" t="s">
        <v>10451</v>
      </c>
      <c r="U723" t="s">
        <v>10452</v>
      </c>
      <c r="V723" t="s">
        <v>10453</v>
      </c>
      <c r="W723" t="s">
        <v>10454</v>
      </c>
      <c r="X723" t="s">
        <v>10455</v>
      </c>
      <c r="Y723" t="s">
        <v>74</v>
      </c>
      <c r="Z723" t="s">
        <v>10456</v>
      </c>
      <c r="AA723" t="s">
        <v>10457</v>
      </c>
      <c r="AB723" t="s">
        <v>10458</v>
      </c>
      <c r="AC723" t="s">
        <v>74</v>
      </c>
      <c r="AD723" t="s">
        <v>74</v>
      </c>
      <c r="AE723" t="s">
        <v>74</v>
      </c>
      <c r="AF723" t="s">
        <v>74</v>
      </c>
      <c r="AG723">
        <v>16</v>
      </c>
      <c r="AH723">
        <v>11</v>
      </c>
      <c r="AI723">
        <v>11</v>
      </c>
      <c r="AJ723">
        <v>0</v>
      </c>
      <c r="AK723">
        <v>2</v>
      </c>
      <c r="AL723" t="s">
        <v>213</v>
      </c>
      <c r="AM723" t="s">
        <v>5925</v>
      </c>
      <c r="AN723" t="s">
        <v>5926</v>
      </c>
      <c r="AO723" t="s">
        <v>5927</v>
      </c>
      <c r="AP723" t="s">
        <v>74</v>
      </c>
      <c r="AQ723" t="s">
        <v>74</v>
      </c>
      <c r="AR723" t="s">
        <v>7848</v>
      </c>
      <c r="AS723" t="s">
        <v>74</v>
      </c>
      <c r="AT723" t="s">
        <v>74</v>
      </c>
      <c r="AU723">
        <v>2004</v>
      </c>
      <c r="AV723">
        <v>34</v>
      </c>
      <c r="AW723">
        <v>4</v>
      </c>
      <c r="AX723" t="s">
        <v>74</v>
      </c>
      <c r="AY723" t="s">
        <v>74</v>
      </c>
      <c r="AZ723">
        <v>2004</v>
      </c>
      <c r="BA723" t="s">
        <v>74</v>
      </c>
      <c r="BB723">
        <v>798</v>
      </c>
      <c r="BC723">
        <v>803</v>
      </c>
      <c r="BD723" t="s">
        <v>74</v>
      </c>
      <c r="BE723" t="s">
        <v>10459</v>
      </c>
      <c r="BF723" t="str">
        <f>HYPERLINK("http://dx.doi.org/10.1016/j.asr.2003.08.069","http://dx.doi.org/10.1016/j.asr.2003.08.069")</f>
        <v>http://dx.doi.org/10.1016/j.asr.2003.08.069</v>
      </c>
      <c r="BG723" t="s">
        <v>74</v>
      </c>
      <c r="BH723" t="s">
        <v>74</v>
      </c>
      <c r="BI723">
        <v>6</v>
      </c>
      <c r="BJ723" t="s">
        <v>10433</v>
      </c>
      <c r="BK723" t="s">
        <v>1116</v>
      </c>
      <c r="BL723" t="s">
        <v>10434</v>
      </c>
      <c r="BM723" t="s">
        <v>10435</v>
      </c>
      <c r="BN723" t="s">
        <v>74</v>
      </c>
      <c r="BO723" t="s">
        <v>156</v>
      </c>
      <c r="BP723" t="s">
        <v>74</v>
      </c>
      <c r="BQ723" t="s">
        <v>74</v>
      </c>
      <c r="BR723" t="s">
        <v>99</v>
      </c>
      <c r="BS723" t="s">
        <v>10460</v>
      </c>
      <c r="BT723" t="str">
        <f>HYPERLINK("https%3A%2F%2Fwww.webofscience.com%2Fwos%2Fwoscc%2Ffull-record%2FWOS:000223618200021","View Full Record in Web of Science")</f>
        <v>View Full Record in Web of Science</v>
      </c>
    </row>
    <row r="724" spans="1:72" x14ac:dyDescent="0.15">
      <c r="A724" t="s">
        <v>3934</v>
      </c>
      <c r="B724" t="s">
        <v>10461</v>
      </c>
      <c r="C724" t="s">
        <v>74</v>
      </c>
      <c r="D724" t="s">
        <v>10462</v>
      </c>
      <c r="E724" t="s">
        <v>74</v>
      </c>
      <c r="F724" t="s">
        <v>10461</v>
      </c>
      <c r="G724" t="s">
        <v>74</v>
      </c>
      <c r="H724" t="s">
        <v>74</v>
      </c>
      <c r="I724" t="s">
        <v>10463</v>
      </c>
      <c r="J724" t="s">
        <v>10464</v>
      </c>
      <c r="K724" t="s">
        <v>7572</v>
      </c>
      <c r="L724" t="s">
        <v>74</v>
      </c>
      <c r="M724" t="s">
        <v>77</v>
      </c>
      <c r="N724" t="s">
        <v>3940</v>
      </c>
      <c r="O724" t="s">
        <v>10465</v>
      </c>
      <c r="P724" t="s">
        <v>10466</v>
      </c>
      <c r="Q724" t="s">
        <v>7374</v>
      </c>
      <c r="R724" t="s">
        <v>74</v>
      </c>
      <c r="S724" t="s">
        <v>74</v>
      </c>
      <c r="T724" t="s">
        <v>10467</v>
      </c>
      <c r="U724" t="s">
        <v>10468</v>
      </c>
      <c r="V724" t="s">
        <v>10469</v>
      </c>
      <c r="W724" t="s">
        <v>10470</v>
      </c>
      <c r="X724" t="s">
        <v>10471</v>
      </c>
      <c r="Y724" t="s">
        <v>10472</v>
      </c>
      <c r="Z724" t="s">
        <v>74</v>
      </c>
      <c r="AA724" t="s">
        <v>74</v>
      </c>
      <c r="AB724" t="s">
        <v>74</v>
      </c>
      <c r="AC724" t="s">
        <v>74</v>
      </c>
      <c r="AD724" t="s">
        <v>74</v>
      </c>
      <c r="AE724" t="s">
        <v>74</v>
      </c>
      <c r="AF724" t="s">
        <v>74</v>
      </c>
      <c r="AG724">
        <v>19</v>
      </c>
      <c r="AH724">
        <v>0</v>
      </c>
      <c r="AI724">
        <v>0</v>
      </c>
      <c r="AJ724">
        <v>0</v>
      </c>
      <c r="AK724">
        <v>3</v>
      </c>
      <c r="AL724" t="s">
        <v>7542</v>
      </c>
      <c r="AM724" t="s">
        <v>7543</v>
      </c>
      <c r="AN724" t="s">
        <v>7544</v>
      </c>
      <c r="AO724" t="s">
        <v>7545</v>
      </c>
      <c r="AP724" t="s">
        <v>74</v>
      </c>
      <c r="AQ724" t="s">
        <v>10473</v>
      </c>
      <c r="AR724" t="s">
        <v>7577</v>
      </c>
      <c r="AS724" t="s">
        <v>74</v>
      </c>
      <c r="AT724" t="s">
        <v>74</v>
      </c>
      <c r="AU724">
        <v>2004</v>
      </c>
      <c r="AV724">
        <v>5545</v>
      </c>
      <c r="AW724" t="s">
        <v>74</v>
      </c>
      <c r="AX724" t="s">
        <v>74</v>
      </c>
      <c r="AY724" t="s">
        <v>74</v>
      </c>
      <c r="AZ724" t="s">
        <v>74</v>
      </c>
      <c r="BA724" t="s">
        <v>74</v>
      </c>
      <c r="BB724">
        <v>49</v>
      </c>
      <c r="BC724">
        <v>55</v>
      </c>
      <c r="BD724" t="s">
        <v>74</v>
      </c>
      <c r="BE724" t="s">
        <v>10474</v>
      </c>
      <c r="BF724" t="str">
        <f>HYPERLINK("http://dx.doi.org/10.1117/12.560326","http://dx.doi.org/10.1117/12.560326")</f>
        <v>http://dx.doi.org/10.1117/12.560326</v>
      </c>
      <c r="BG724" t="s">
        <v>74</v>
      </c>
      <c r="BH724" t="s">
        <v>74</v>
      </c>
      <c r="BI724">
        <v>7</v>
      </c>
      <c r="BJ724" t="s">
        <v>10475</v>
      </c>
      <c r="BK724" t="s">
        <v>3955</v>
      </c>
      <c r="BL724" t="s">
        <v>10475</v>
      </c>
      <c r="BM724" t="s">
        <v>10476</v>
      </c>
      <c r="BN724" t="s">
        <v>74</v>
      </c>
      <c r="BO724" t="s">
        <v>74</v>
      </c>
      <c r="BP724" t="s">
        <v>74</v>
      </c>
      <c r="BQ724" t="s">
        <v>74</v>
      </c>
      <c r="BR724" t="s">
        <v>99</v>
      </c>
      <c r="BS724" t="s">
        <v>10477</v>
      </c>
      <c r="BT724" t="str">
        <f>HYPERLINK("https%3A%2F%2Fwww.webofscience.com%2Fwos%2Fwoscc%2Ffull-record%2FWOS:000225039800007","View Full Record in Web of Science")</f>
        <v>View Full Record in Web of Science</v>
      </c>
    </row>
    <row r="725" spans="1:72" x14ac:dyDescent="0.15">
      <c r="A725" t="s">
        <v>72</v>
      </c>
      <c r="B725" t="s">
        <v>10478</v>
      </c>
      <c r="C725" t="s">
        <v>74</v>
      </c>
      <c r="D725" t="s">
        <v>74</v>
      </c>
      <c r="E725" t="s">
        <v>74</v>
      </c>
      <c r="F725" t="s">
        <v>10478</v>
      </c>
      <c r="G725" t="s">
        <v>74</v>
      </c>
      <c r="H725" t="s">
        <v>74</v>
      </c>
      <c r="I725" t="s">
        <v>10479</v>
      </c>
      <c r="J725" t="s">
        <v>10480</v>
      </c>
      <c r="K725" t="s">
        <v>74</v>
      </c>
      <c r="L725" t="s">
        <v>74</v>
      </c>
      <c r="M725" t="s">
        <v>77</v>
      </c>
      <c r="N725" t="s">
        <v>78</v>
      </c>
      <c r="O725" t="s">
        <v>74</v>
      </c>
      <c r="P725" t="s">
        <v>74</v>
      </c>
      <c r="Q725" t="s">
        <v>74</v>
      </c>
      <c r="R725" t="s">
        <v>74</v>
      </c>
      <c r="S725" t="s">
        <v>74</v>
      </c>
      <c r="T725" t="s">
        <v>74</v>
      </c>
      <c r="U725" t="s">
        <v>10481</v>
      </c>
      <c r="V725" t="s">
        <v>10482</v>
      </c>
      <c r="W725" t="s">
        <v>10483</v>
      </c>
      <c r="X725" t="s">
        <v>10484</v>
      </c>
      <c r="Y725" t="s">
        <v>10485</v>
      </c>
      <c r="Z725" t="s">
        <v>10486</v>
      </c>
      <c r="AA725" t="s">
        <v>74</v>
      </c>
      <c r="AB725" t="s">
        <v>74</v>
      </c>
      <c r="AC725" t="s">
        <v>74</v>
      </c>
      <c r="AD725" t="s">
        <v>74</v>
      </c>
      <c r="AE725" t="s">
        <v>74</v>
      </c>
      <c r="AF725" t="s">
        <v>74</v>
      </c>
      <c r="AG725">
        <v>26</v>
      </c>
      <c r="AH725">
        <v>25</v>
      </c>
      <c r="AI725">
        <v>27</v>
      </c>
      <c r="AJ725">
        <v>0</v>
      </c>
      <c r="AK725">
        <v>10</v>
      </c>
      <c r="AL725" t="s">
        <v>8414</v>
      </c>
      <c r="AM725" t="s">
        <v>7062</v>
      </c>
      <c r="AN725" t="s">
        <v>7063</v>
      </c>
      <c r="AO725" t="s">
        <v>10487</v>
      </c>
      <c r="AP725" t="s">
        <v>74</v>
      </c>
      <c r="AQ725" t="s">
        <v>74</v>
      </c>
      <c r="AR725" t="s">
        <v>10488</v>
      </c>
      <c r="AS725" t="s">
        <v>10489</v>
      </c>
      <c r="AT725" t="s">
        <v>74</v>
      </c>
      <c r="AU725">
        <v>2004</v>
      </c>
      <c r="AV725">
        <v>31</v>
      </c>
      <c r="AW725">
        <v>2</v>
      </c>
      <c r="AX725" t="s">
        <v>74</v>
      </c>
      <c r="AY725" t="s">
        <v>74</v>
      </c>
      <c r="AZ725" t="s">
        <v>74</v>
      </c>
      <c r="BA725" t="s">
        <v>74</v>
      </c>
      <c r="BB725">
        <v>177</v>
      </c>
      <c r="BC725">
        <v>181</v>
      </c>
      <c r="BD725" t="s">
        <v>74</v>
      </c>
      <c r="BE725" t="s">
        <v>10490</v>
      </c>
      <c r="BF725" t="str">
        <f>HYPERLINK("http://dx.doi.org/10.1071/WR03006","http://dx.doi.org/10.1071/WR03006")</f>
        <v>http://dx.doi.org/10.1071/WR03006</v>
      </c>
      <c r="BG725" t="s">
        <v>74</v>
      </c>
      <c r="BH725" t="s">
        <v>74</v>
      </c>
      <c r="BI725">
        <v>5</v>
      </c>
      <c r="BJ725" t="s">
        <v>10491</v>
      </c>
      <c r="BK725" t="s">
        <v>96</v>
      </c>
      <c r="BL725" t="s">
        <v>10492</v>
      </c>
      <c r="BM725" t="s">
        <v>10493</v>
      </c>
      <c r="BN725" t="s">
        <v>74</v>
      </c>
      <c r="BO725" t="s">
        <v>74</v>
      </c>
      <c r="BP725" t="s">
        <v>74</v>
      </c>
      <c r="BQ725" t="s">
        <v>74</v>
      </c>
      <c r="BR725" t="s">
        <v>99</v>
      </c>
      <c r="BS725" t="s">
        <v>10494</v>
      </c>
      <c r="BT725" t="str">
        <f>HYPERLINK("https%3A%2F%2Fwww.webofscience.com%2Fwos%2Fwoscc%2Ffull-record%2FWOS:000221633500008","View Full Record in Web of Science")</f>
        <v>View Full Record in Web of Science</v>
      </c>
    </row>
    <row r="726" spans="1:72" x14ac:dyDescent="0.15">
      <c r="A726" t="s">
        <v>72</v>
      </c>
      <c r="B726" t="s">
        <v>10495</v>
      </c>
      <c r="C726" t="s">
        <v>74</v>
      </c>
      <c r="D726" t="s">
        <v>74</v>
      </c>
      <c r="E726" t="s">
        <v>74</v>
      </c>
      <c r="F726" t="s">
        <v>10495</v>
      </c>
      <c r="G726" t="s">
        <v>74</v>
      </c>
      <c r="H726" t="s">
        <v>74</v>
      </c>
      <c r="I726" t="s">
        <v>10496</v>
      </c>
      <c r="J726" t="s">
        <v>10480</v>
      </c>
      <c r="K726" t="s">
        <v>74</v>
      </c>
      <c r="L726" t="s">
        <v>74</v>
      </c>
      <c r="M726" t="s">
        <v>77</v>
      </c>
      <c r="N726" t="s">
        <v>78</v>
      </c>
      <c r="O726" t="s">
        <v>74</v>
      </c>
      <c r="P726" t="s">
        <v>74</v>
      </c>
      <c r="Q726" t="s">
        <v>74</v>
      </c>
      <c r="R726" t="s">
        <v>74</v>
      </c>
      <c r="S726" t="s">
        <v>74</v>
      </c>
      <c r="T726" t="s">
        <v>74</v>
      </c>
      <c r="U726" t="s">
        <v>10497</v>
      </c>
      <c r="V726" t="s">
        <v>10498</v>
      </c>
      <c r="W726" t="s">
        <v>10499</v>
      </c>
      <c r="X726" t="s">
        <v>10500</v>
      </c>
      <c r="Y726" t="s">
        <v>10501</v>
      </c>
      <c r="Z726" t="s">
        <v>74</v>
      </c>
      <c r="AA726" t="s">
        <v>10502</v>
      </c>
      <c r="AB726" t="s">
        <v>10503</v>
      </c>
      <c r="AC726" t="s">
        <v>74</v>
      </c>
      <c r="AD726" t="s">
        <v>74</v>
      </c>
      <c r="AE726" t="s">
        <v>74</v>
      </c>
      <c r="AF726" t="s">
        <v>74</v>
      </c>
      <c r="AG726">
        <v>16</v>
      </c>
      <c r="AH726">
        <v>48</v>
      </c>
      <c r="AI726">
        <v>51</v>
      </c>
      <c r="AJ726">
        <v>0</v>
      </c>
      <c r="AK726">
        <v>35</v>
      </c>
      <c r="AL726" t="s">
        <v>8414</v>
      </c>
      <c r="AM726" t="s">
        <v>7062</v>
      </c>
      <c r="AN726" t="s">
        <v>7063</v>
      </c>
      <c r="AO726" t="s">
        <v>10487</v>
      </c>
      <c r="AP726" t="s">
        <v>74</v>
      </c>
      <c r="AQ726" t="s">
        <v>74</v>
      </c>
      <c r="AR726" t="s">
        <v>10488</v>
      </c>
      <c r="AS726" t="s">
        <v>10489</v>
      </c>
      <c r="AT726" t="s">
        <v>74</v>
      </c>
      <c r="AU726">
        <v>2004</v>
      </c>
      <c r="AV726">
        <v>31</v>
      </c>
      <c r="AW726">
        <v>3</v>
      </c>
      <c r="AX726" t="s">
        <v>74</v>
      </c>
      <c r="AY726" t="s">
        <v>74</v>
      </c>
      <c r="AZ726" t="s">
        <v>74</v>
      </c>
      <c r="BA726" t="s">
        <v>74</v>
      </c>
      <c r="BB726">
        <v>283</v>
      </c>
      <c r="BC726">
        <v>290</v>
      </c>
      <c r="BD726" t="s">
        <v>74</v>
      </c>
      <c r="BE726" t="s">
        <v>10504</v>
      </c>
      <c r="BF726" t="str">
        <f>HYPERLINK("http://dx.doi.org/10.1071/WR02073","http://dx.doi.org/10.1071/WR02073")</f>
        <v>http://dx.doi.org/10.1071/WR02073</v>
      </c>
      <c r="BG726" t="s">
        <v>74</v>
      </c>
      <c r="BH726" t="s">
        <v>74</v>
      </c>
      <c r="BI726">
        <v>8</v>
      </c>
      <c r="BJ726" t="s">
        <v>10491</v>
      </c>
      <c r="BK726" t="s">
        <v>96</v>
      </c>
      <c r="BL726" t="s">
        <v>10492</v>
      </c>
      <c r="BM726" t="s">
        <v>10505</v>
      </c>
      <c r="BN726" t="s">
        <v>74</v>
      </c>
      <c r="BO726" t="s">
        <v>74</v>
      </c>
      <c r="BP726" t="s">
        <v>74</v>
      </c>
      <c r="BQ726" t="s">
        <v>74</v>
      </c>
      <c r="BR726" t="s">
        <v>99</v>
      </c>
      <c r="BS726" t="s">
        <v>10506</v>
      </c>
      <c r="BT726" t="str">
        <f>HYPERLINK("https%3A%2F%2Fwww.webofscience.com%2Fwos%2Fwoscc%2Ffull-record%2FWOS:000222311500007","View Full Record in Web of Science")</f>
        <v>View Full Record in Web of Science</v>
      </c>
    </row>
    <row r="727" spans="1:72" x14ac:dyDescent="0.15">
      <c r="A727" t="s">
        <v>72</v>
      </c>
      <c r="B727" t="s">
        <v>10507</v>
      </c>
      <c r="C727" t="s">
        <v>74</v>
      </c>
      <c r="D727" t="s">
        <v>74</v>
      </c>
      <c r="E727" t="s">
        <v>74</v>
      </c>
      <c r="F727" t="s">
        <v>10507</v>
      </c>
      <c r="G727" t="s">
        <v>74</v>
      </c>
      <c r="H727" t="s">
        <v>74</v>
      </c>
      <c r="I727" t="s">
        <v>10508</v>
      </c>
      <c r="J727" t="s">
        <v>10480</v>
      </c>
      <c r="K727" t="s">
        <v>74</v>
      </c>
      <c r="L727" t="s">
        <v>74</v>
      </c>
      <c r="M727" t="s">
        <v>77</v>
      </c>
      <c r="N727" t="s">
        <v>78</v>
      </c>
      <c r="O727" t="s">
        <v>74</v>
      </c>
      <c r="P727" t="s">
        <v>74</v>
      </c>
      <c r="Q727" t="s">
        <v>74</v>
      </c>
      <c r="R727" t="s">
        <v>74</v>
      </c>
      <c r="S727" t="s">
        <v>74</v>
      </c>
      <c r="T727" t="s">
        <v>74</v>
      </c>
      <c r="U727" t="s">
        <v>10509</v>
      </c>
      <c r="V727" t="s">
        <v>10510</v>
      </c>
      <c r="W727" t="s">
        <v>10511</v>
      </c>
      <c r="X727" t="s">
        <v>10512</v>
      </c>
      <c r="Y727" t="s">
        <v>10513</v>
      </c>
      <c r="Z727" t="s">
        <v>10514</v>
      </c>
      <c r="AA727" t="s">
        <v>74</v>
      </c>
      <c r="AB727" t="s">
        <v>10515</v>
      </c>
      <c r="AC727" t="s">
        <v>74</v>
      </c>
      <c r="AD727" t="s">
        <v>74</v>
      </c>
      <c r="AE727" t="s">
        <v>74</v>
      </c>
      <c r="AF727" t="s">
        <v>74</v>
      </c>
      <c r="AG727">
        <v>31</v>
      </c>
      <c r="AH727">
        <v>4</v>
      </c>
      <c r="AI727">
        <v>5</v>
      </c>
      <c r="AJ727">
        <v>0</v>
      </c>
      <c r="AK727">
        <v>6</v>
      </c>
      <c r="AL727" t="s">
        <v>5554</v>
      </c>
      <c r="AM727" t="s">
        <v>5555</v>
      </c>
      <c r="AN727" t="s">
        <v>5556</v>
      </c>
      <c r="AO727" t="s">
        <v>10487</v>
      </c>
      <c r="AP727" t="s">
        <v>10516</v>
      </c>
      <c r="AQ727" t="s">
        <v>74</v>
      </c>
      <c r="AR727" t="s">
        <v>10488</v>
      </c>
      <c r="AS727" t="s">
        <v>10489</v>
      </c>
      <c r="AT727" t="s">
        <v>74</v>
      </c>
      <c r="AU727">
        <v>2004</v>
      </c>
      <c r="AV727">
        <v>31</v>
      </c>
      <c r="AW727">
        <v>4</v>
      </c>
      <c r="AX727" t="s">
        <v>74</v>
      </c>
      <c r="AY727" t="s">
        <v>74</v>
      </c>
      <c r="AZ727" t="s">
        <v>74</v>
      </c>
      <c r="BA727" t="s">
        <v>74</v>
      </c>
      <c r="BB727">
        <v>415</v>
      </c>
      <c r="BC727">
        <v>420</v>
      </c>
      <c r="BD727" t="s">
        <v>74</v>
      </c>
      <c r="BE727" t="s">
        <v>10517</v>
      </c>
      <c r="BF727" t="str">
        <f>HYPERLINK("http://dx.doi.org/10.1071/WR03084","http://dx.doi.org/10.1071/WR03084")</f>
        <v>http://dx.doi.org/10.1071/WR03084</v>
      </c>
      <c r="BG727" t="s">
        <v>74</v>
      </c>
      <c r="BH727" t="s">
        <v>74</v>
      </c>
      <c r="BI727">
        <v>6</v>
      </c>
      <c r="BJ727" t="s">
        <v>10491</v>
      </c>
      <c r="BK727" t="s">
        <v>96</v>
      </c>
      <c r="BL727" t="s">
        <v>10492</v>
      </c>
      <c r="BM727" t="s">
        <v>10518</v>
      </c>
      <c r="BN727" t="s">
        <v>74</v>
      </c>
      <c r="BO727" t="s">
        <v>74</v>
      </c>
      <c r="BP727" t="s">
        <v>74</v>
      </c>
      <c r="BQ727" t="s">
        <v>74</v>
      </c>
      <c r="BR727" t="s">
        <v>99</v>
      </c>
      <c r="BS727" t="s">
        <v>10519</v>
      </c>
      <c r="BT727" t="str">
        <f>HYPERLINK("https%3A%2F%2Fwww.webofscience.com%2Fwos%2Fwoscc%2Ffull-record%2FWOS:000223516600008","View Full Record in Web of Science")</f>
        <v>View Full Record in Web of Science</v>
      </c>
    </row>
    <row r="728" spans="1:72" x14ac:dyDescent="0.15">
      <c r="A728" t="s">
        <v>72</v>
      </c>
      <c r="B728" t="s">
        <v>10520</v>
      </c>
      <c r="C728" t="s">
        <v>74</v>
      </c>
      <c r="D728" t="s">
        <v>74</v>
      </c>
      <c r="E728" t="s">
        <v>74</v>
      </c>
      <c r="F728" t="s">
        <v>10520</v>
      </c>
      <c r="G728" t="s">
        <v>74</v>
      </c>
      <c r="H728" t="s">
        <v>74</v>
      </c>
      <c r="I728" t="s">
        <v>10521</v>
      </c>
      <c r="J728" t="s">
        <v>10480</v>
      </c>
      <c r="K728" t="s">
        <v>74</v>
      </c>
      <c r="L728" t="s">
        <v>74</v>
      </c>
      <c r="M728" t="s">
        <v>77</v>
      </c>
      <c r="N728" t="s">
        <v>78</v>
      </c>
      <c r="O728" t="s">
        <v>74</v>
      </c>
      <c r="P728" t="s">
        <v>74</v>
      </c>
      <c r="Q728" t="s">
        <v>74</v>
      </c>
      <c r="R728" t="s">
        <v>74</v>
      </c>
      <c r="S728" t="s">
        <v>74</v>
      </c>
      <c r="T728" t="s">
        <v>74</v>
      </c>
      <c r="U728" t="s">
        <v>10522</v>
      </c>
      <c r="V728" t="s">
        <v>10523</v>
      </c>
      <c r="W728" t="s">
        <v>10524</v>
      </c>
      <c r="X728" t="s">
        <v>4948</v>
      </c>
      <c r="Y728" t="s">
        <v>10525</v>
      </c>
      <c r="Z728" t="s">
        <v>10526</v>
      </c>
      <c r="AA728" t="s">
        <v>10527</v>
      </c>
      <c r="AB728" t="s">
        <v>10528</v>
      </c>
      <c r="AC728" t="s">
        <v>74</v>
      </c>
      <c r="AD728" t="s">
        <v>74</v>
      </c>
      <c r="AE728" t="s">
        <v>74</v>
      </c>
      <c r="AF728" t="s">
        <v>74</v>
      </c>
      <c r="AG728">
        <v>29</v>
      </c>
      <c r="AH728">
        <v>23</v>
      </c>
      <c r="AI728">
        <v>27</v>
      </c>
      <c r="AJ728">
        <v>0</v>
      </c>
      <c r="AK728">
        <v>4</v>
      </c>
      <c r="AL728" t="s">
        <v>5554</v>
      </c>
      <c r="AM728" t="s">
        <v>5555</v>
      </c>
      <c r="AN728" t="s">
        <v>5556</v>
      </c>
      <c r="AO728" t="s">
        <v>10487</v>
      </c>
      <c r="AP728" t="s">
        <v>10516</v>
      </c>
      <c r="AQ728" t="s">
        <v>74</v>
      </c>
      <c r="AR728" t="s">
        <v>10488</v>
      </c>
      <c r="AS728" t="s">
        <v>10489</v>
      </c>
      <c r="AT728" t="s">
        <v>74</v>
      </c>
      <c r="AU728">
        <v>2004</v>
      </c>
      <c r="AV728">
        <v>31</v>
      </c>
      <c r="AW728">
        <v>6</v>
      </c>
      <c r="AX728" t="s">
        <v>74</v>
      </c>
      <c r="AY728" t="s">
        <v>74</v>
      </c>
      <c r="AZ728" t="s">
        <v>74</v>
      </c>
      <c r="BA728" t="s">
        <v>74</v>
      </c>
      <c r="BB728">
        <v>619</v>
      </c>
      <c r="BC728">
        <v>629</v>
      </c>
      <c r="BD728" t="s">
        <v>74</v>
      </c>
      <c r="BE728" t="s">
        <v>10529</v>
      </c>
      <c r="BF728" t="str">
        <f>HYPERLINK("http://dx.doi.org/10.1071/WR03101","http://dx.doi.org/10.1071/WR03101")</f>
        <v>http://dx.doi.org/10.1071/WR03101</v>
      </c>
      <c r="BG728" t="s">
        <v>74</v>
      </c>
      <c r="BH728" t="s">
        <v>74</v>
      </c>
      <c r="BI728">
        <v>11</v>
      </c>
      <c r="BJ728" t="s">
        <v>10491</v>
      </c>
      <c r="BK728" t="s">
        <v>96</v>
      </c>
      <c r="BL728" t="s">
        <v>10492</v>
      </c>
      <c r="BM728" t="s">
        <v>10530</v>
      </c>
      <c r="BN728" t="s">
        <v>74</v>
      </c>
      <c r="BO728" t="s">
        <v>74</v>
      </c>
      <c r="BP728" t="s">
        <v>74</v>
      </c>
      <c r="BQ728" t="s">
        <v>74</v>
      </c>
      <c r="BR728" t="s">
        <v>99</v>
      </c>
      <c r="BS728" t="s">
        <v>10531</v>
      </c>
      <c r="BT728" t="str">
        <f>HYPERLINK("https%3A%2F%2Fwww.webofscience.com%2Fwos%2Fwoscc%2Ffull-record%2FWOS:000225916600008","View Full Record in Web of Science")</f>
        <v>View Full Record in Web of Science</v>
      </c>
    </row>
    <row r="729" spans="1:72" x14ac:dyDescent="0.15">
      <c r="A729" t="s">
        <v>497</v>
      </c>
      <c r="B729" t="s">
        <v>10532</v>
      </c>
      <c r="C729" t="s">
        <v>74</v>
      </c>
      <c r="D729" t="s">
        <v>10533</v>
      </c>
      <c r="E729" t="s">
        <v>74</v>
      </c>
      <c r="F729" t="s">
        <v>10532</v>
      </c>
      <c r="G729" t="s">
        <v>74</v>
      </c>
      <c r="H729" t="s">
        <v>74</v>
      </c>
      <c r="I729" t="s">
        <v>10534</v>
      </c>
      <c r="J729" t="s">
        <v>10535</v>
      </c>
      <c r="K729" t="s">
        <v>10536</v>
      </c>
      <c r="L729" t="s">
        <v>74</v>
      </c>
      <c r="M729" t="s">
        <v>77</v>
      </c>
      <c r="N729" t="s">
        <v>268</v>
      </c>
      <c r="O729" t="s">
        <v>74</v>
      </c>
      <c r="P729" t="s">
        <v>74</v>
      </c>
      <c r="Q729" t="s">
        <v>74</v>
      </c>
      <c r="R729" t="s">
        <v>74</v>
      </c>
      <c r="S729" t="s">
        <v>74</v>
      </c>
      <c r="T729" t="s">
        <v>74</v>
      </c>
      <c r="U729" t="s">
        <v>10537</v>
      </c>
      <c r="V729" t="s">
        <v>74</v>
      </c>
      <c r="W729" t="s">
        <v>10538</v>
      </c>
      <c r="X729" t="s">
        <v>10539</v>
      </c>
      <c r="Y729" t="s">
        <v>10540</v>
      </c>
      <c r="Z729" t="s">
        <v>74</v>
      </c>
      <c r="AA729" t="s">
        <v>74</v>
      </c>
      <c r="AB729" t="s">
        <v>74</v>
      </c>
      <c r="AC729" t="s">
        <v>74</v>
      </c>
      <c r="AD729" t="s">
        <v>74</v>
      </c>
      <c r="AE729" t="s">
        <v>74</v>
      </c>
      <c r="AF729" t="s">
        <v>74</v>
      </c>
      <c r="AG729">
        <v>54</v>
      </c>
      <c r="AH729">
        <v>11</v>
      </c>
      <c r="AI729">
        <v>12</v>
      </c>
      <c r="AJ729">
        <v>0</v>
      </c>
      <c r="AK729">
        <v>0</v>
      </c>
      <c r="AL729" t="s">
        <v>10541</v>
      </c>
      <c r="AM729" t="s">
        <v>1452</v>
      </c>
      <c r="AN729" t="s">
        <v>10542</v>
      </c>
      <c r="AO729" t="s">
        <v>10543</v>
      </c>
      <c r="AP729" t="s">
        <v>74</v>
      </c>
      <c r="AQ729" t="s">
        <v>10544</v>
      </c>
      <c r="AR729" t="s">
        <v>10545</v>
      </c>
      <c r="AS729" t="s">
        <v>10546</v>
      </c>
      <c r="AT729" t="s">
        <v>74</v>
      </c>
      <c r="AU729">
        <v>2004</v>
      </c>
      <c r="AV729">
        <v>77</v>
      </c>
      <c r="AW729" t="s">
        <v>74</v>
      </c>
      <c r="AX729" t="s">
        <v>74</v>
      </c>
      <c r="AY729" t="s">
        <v>74</v>
      </c>
      <c r="AZ729" t="s">
        <v>74</v>
      </c>
      <c r="BA729" t="s">
        <v>74</v>
      </c>
      <c r="BB729">
        <v>475</v>
      </c>
      <c r="BC729" t="s">
        <v>1135</v>
      </c>
      <c r="BD729" t="s">
        <v>74</v>
      </c>
      <c r="BE729" t="s">
        <v>74</v>
      </c>
      <c r="BF729" t="s">
        <v>74</v>
      </c>
      <c r="BG729" t="s">
        <v>74</v>
      </c>
      <c r="BH729" t="s">
        <v>74</v>
      </c>
      <c r="BI729">
        <v>31</v>
      </c>
      <c r="BJ729" t="s">
        <v>1862</v>
      </c>
      <c r="BK729" t="s">
        <v>96</v>
      </c>
      <c r="BL729" t="s">
        <v>1862</v>
      </c>
      <c r="BM729" t="s">
        <v>10547</v>
      </c>
      <c r="BN729">
        <v>15602928</v>
      </c>
      <c r="BO729" t="s">
        <v>74</v>
      </c>
      <c r="BP729" t="s">
        <v>74</v>
      </c>
      <c r="BQ729" t="s">
        <v>74</v>
      </c>
      <c r="BR729" t="s">
        <v>99</v>
      </c>
      <c r="BS729" t="s">
        <v>10548</v>
      </c>
      <c r="BT729" t="str">
        <f>HYPERLINK("https%3A%2F%2Fwww.webofscience.com%2Fwos%2Fwoscc%2Ffull-record%2FWOS:000225969100026","View Full Record in Web of Science")</f>
        <v>View Full Record in Web of Science</v>
      </c>
    </row>
    <row r="730" spans="1:72" x14ac:dyDescent="0.15">
      <c r="A730" t="s">
        <v>72</v>
      </c>
      <c r="B730" t="s">
        <v>10549</v>
      </c>
      <c r="C730" t="s">
        <v>74</v>
      </c>
      <c r="D730" t="s">
        <v>74</v>
      </c>
      <c r="E730" t="s">
        <v>74</v>
      </c>
      <c r="F730" t="s">
        <v>10549</v>
      </c>
      <c r="G730" t="s">
        <v>74</v>
      </c>
      <c r="H730" t="s">
        <v>74</v>
      </c>
      <c r="I730" t="s">
        <v>10550</v>
      </c>
      <c r="J730" t="s">
        <v>10551</v>
      </c>
      <c r="K730" t="s">
        <v>74</v>
      </c>
      <c r="L730" t="s">
        <v>74</v>
      </c>
      <c r="M730" t="s">
        <v>77</v>
      </c>
      <c r="N730" t="s">
        <v>78</v>
      </c>
      <c r="O730" t="s">
        <v>74</v>
      </c>
      <c r="P730" t="s">
        <v>74</v>
      </c>
      <c r="Q730" t="s">
        <v>74</v>
      </c>
      <c r="R730" t="s">
        <v>74</v>
      </c>
      <c r="S730" t="s">
        <v>74</v>
      </c>
      <c r="T730" t="s">
        <v>10552</v>
      </c>
      <c r="U730" t="s">
        <v>10553</v>
      </c>
      <c r="V730" t="s">
        <v>10554</v>
      </c>
      <c r="W730" t="s">
        <v>10555</v>
      </c>
      <c r="X730" t="s">
        <v>10556</v>
      </c>
      <c r="Y730" t="s">
        <v>10557</v>
      </c>
      <c r="Z730" t="s">
        <v>10558</v>
      </c>
      <c r="AA730" t="s">
        <v>74</v>
      </c>
      <c r="AB730" t="s">
        <v>74</v>
      </c>
      <c r="AC730" t="s">
        <v>74</v>
      </c>
      <c r="AD730" t="s">
        <v>74</v>
      </c>
      <c r="AE730" t="s">
        <v>74</v>
      </c>
      <c r="AF730" t="s">
        <v>74</v>
      </c>
      <c r="AG730">
        <v>20</v>
      </c>
      <c r="AH730">
        <v>21</v>
      </c>
      <c r="AI730">
        <v>22</v>
      </c>
      <c r="AJ730">
        <v>0</v>
      </c>
      <c r="AK730">
        <v>3</v>
      </c>
      <c r="AL730" t="s">
        <v>5616</v>
      </c>
      <c r="AM730" t="s">
        <v>5601</v>
      </c>
      <c r="AN730" t="s">
        <v>5617</v>
      </c>
      <c r="AO730" t="s">
        <v>10559</v>
      </c>
      <c r="AP730" t="s">
        <v>10560</v>
      </c>
      <c r="AQ730" t="s">
        <v>74</v>
      </c>
      <c r="AR730" t="s">
        <v>10561</v>
      </c>
      <c r="AS730" t="s">
        <v>10562</v>
      </c>
      <c r="AT730" t="s">
        <v>5979</v>
      </c>
      <c r="AU730">
        <v>2004</v>
      </c>
      <c r="AV730">
        <v>59</v>
      </c>
      <c r="AW730" t="s">
        <v>536</v>
      </c>
      <c r="AX730" t="s">
        <v>74</v>
      </c>
      <c r="AY730" t="s">
        <v>74</v>
      </c>
      <c r="AZ730" t="s">
        <v>74</v>
      </c>
      <c r="BA730" t="s">
        <v>74</v>
      </c>
      <c r="BB730">
        <v>140</v>
      </c>
      <c r="BC730">
        <v>145</v>
      </c>
      <c r="BD730" t="s">
        <v>74</v>
      </c>
      <c r="BE730" t="s">
        <v>74</v>
      </c>
      <c r="BF730" t="s">
        <v>74</v>
      </c>
      <c r="BG730" t="s">
        <v>74</v>
      </c>
      <c r="BH730" t="s">
        <v>74</v>
      </c>
      <c r="BI730">
        <v>6</v>
      </c>
      <c r="BJ730" t="s">
        <v>859</v>
      </c>
      <c r="BK730" t="s">
        <v>96</v>
      </c>
      <c r="BL730" t="s">
        <v>859</v>
      </c>
      <c r="BM730" t="s">
        <v>10563</v>
      </c>
      <c r="BN730">
        <v>15018068</v>
      </c>
      <c r="BO730" t="s">
        <v>74</v>
      </c>
      <c r="BP730" t="s">
        <v>74</v>
      </c>
      <c r="BQ730" t="s">
        <v>74</v>
      </c>
      <c r="BR730" t="s">
        <v>99</v>
      </c>
      <c r="BS730" t="s">
        <v>10564</v>
      </c>
      <c r="BT730" t="str">
        <f>HYPERLINK("https%3A%2F%2Fwww.webofscience.com%2Fwos%2Fwoscc%2Ffull-record%2FWOS:000220790400027","View Full Record in Web of Science")</f>
        <v>View Full Record in Web of Science</v>
      </c>
    </row>
    <row r="731" spans="1:72" x14ac:dyDescent="0.15">
      <c r="A731" t="s">
        <v>72</v>
      </c>
      <c r="B731" t="s">
        <v>10565</v>
      </c>
      <c r="C731" t="s">
        <v>74</v>
      </c>
      <c r="D731" t="s">
        <v>74</v>
      </c>
      <c r="E731" t="s">
        <v>74</v>
      </c>
      <c r="F731" t="s">
        <v>10565</v>
      </c>
      <c r="G731" t="s">
        <v>74</v>
      </c>
      <c r="H731" t="s">
        <v>74</v>
      </c>
      <c r="I731" t="s">
        <v>10566</v>
      </c>
      <c r="J731" t="s">
        <v>378</v>
      </c>
      <c r="K731" t="s">
        <v>74</v>
      </c>
      <c r="L731" t="s">
        <v>74</v>
      </c>
      <c r="M731" t="s">
        <v>77</v>
      </c>
      <c r="N731" t="s">
        <v>78</v>
      </c>
      <c r="O731" t="s">
        <v>74</v>
      </c>
      <c r="P731" t="s">
        <v>74</v>
      </c>
      <c r="Q731" t="s">
        <v>74</v>
      </c>
      <c r="R731" t="s">
        <v>74</v>
      </c>
      <c r="S731" t="s">
        <v>74</v>
      </c>
      <c r="T731" t="s">
        <v>10567</v>
      </c>
      <c r="U731" t="s">
        <v>10568</v>
      </c>
      <c r="V731" t="s">
        <v>10569</v>
      </c>
      <c r="W731" t="s">
        <v>10570</v>
      </c>
      <c r="X731" t="s">
        <v>10571</v>
      </c>
      <c r="Y731" t="s">
        <v>10572</v>
      </c>
      <c r="Z731" t="s">
        <v>10573</v>
      </c>
      <c r="AA731" t="s">
        <v>4259</v>
      </c>
      <c r="AB731" t="s">
        <v>4260</v>
      </c>
      <c r="AC731" t="s">
        <v>74</v>
      </c>
      <c r="AD731" t="s">
        <v>74</v>
      </c>
      <c r="AE731" t="s">
        <v>74</v>
      </c>
      <c r="AF731" t="s">
        <v>74</v>
      </c>
      <c r="AG731">
        <v>48</v>
      </c>
      <c r="AH731">
        <v>58</v>
      </c>
      <c r="AI731">
        <v>61</v>
      </c>
      <c r="AJ731">
        <v>1</v>
      </c>
      <c r="AK731">
        <v>4</v>
      </c>
      <c r="AL731" t="s">
        <v>363</v>
      </c>
      <c r="AM731" t="s">
        <v>364</v>
      </c>
      <c r="AN731" t="s">
        <v>365</v>
      </c>
      <c r="AO731" t="s">
        <v>388</v>
      </c>
      <c r="AP731" t="s">
        <v>389</v>
      </c>
      <c r="AQ731" t="s">
        <v>74</v>
      </c>
      <c r="AR731" t="s">
        <v>390</v>
      </c>
      <c r="AS731" t="s">
        <v>391</v>
      </c>
      <c r="AT731" t="s">
        <v>10574</v>
      </c>
      <c r="AU731">
        <v>2003</v>
      </c>
      <c r="AV731">
        <v>108</v>
      </c>
      <c r="AW731" t="s">
        <v>10575</v>
      </c>
      <c r="AX731" t="s">
        <v>74</v>
      </c>
      <c r="AY731" t="s">
        <v>74</v>
      </c>
      <c r="AZ731" t="s">
        <v>74</v>
      </c>
      <c r="BA731" t="s">
        <v>74</v>
      </c>
      <c r="BB731" t="s">
        <v>74</v>
      </c>
      <c r="BC731" t="s">
        <v>74</v>
      </c>
      <c r="BD731">
        <v>1462</v>
      </c>
      <c r="BE731" t="s">
        <v>10576</v>
      </c>
      <c r="BF731" t="str">
        <f>HYPERLINK("http://dx.doi.org/10.1029/2003JA009906","http://dx.doi.org/10.1029/2003JA009906")</f>
        <v>http://dx.doi.org/10.1029/2003JA009906</v>
      </c>
      <c r="BG731" t="s">
        <v>74</v>
      </c>
      <c r="BH731" t="s">
        <v>74</v>
      </c>
      <c r="BI731">
        <v>14</v>
      </c>
      <c r="BJ731" t="s">
        <v>395</v>
      </c>
      <c r="BK731" t="s">
        <v>96</v>
      </c>
      <c r="BL731" t="s">
        <v>395</v>
      </c>
      <c r="BM731" t="s">
        <v>10577</v>
      </c>
      <c r="BN731" t="s">
        <v>74</v>
      </c>
      <c r="BO731" t="s">
        <v>541</v>
      </c>
      <c r="BP731" t="s">
        <v>74</v>
      </c>
      <c r="BQ731" t="s">
        <v>74</v>
      </c>
      <c r="BR731" t="s">
        <v>99</v>
      </c>
      <c r="BS731" t="s">
        <v>10578</v>
      </c>
      <c r="BT731" t="str">
        <f>HYPERLINK("https%3A%2F%2Fwww.webofscience.com%2Fwos%2Fwoscc%2Ffull-record%2FWOS:000187898400003","View Full Record in Web of Science")</f>
        <v>View Full Record in Web of Science</v>
      </c>
    </row>
    <row r="732" spans="1:72" x14ac:dyDescent="0.15">
      <c r="A732" t="s">
        <v>72</v>
      </c>
      <c r="B732" t="s">
        <v>10579</v>
      </c>
      <c r="C732" t="s">
        <v>74</v>
      </c>
      <c r="D732" t="s">
        <v>74</v>
      </c>
      <c r="E732" t="s">
        <v>74</v>
      </c>
      <c r="F732" t="s">
        <v>10579</v>
      </c>
      <c r="G732" t="s">
        <v>74</v>
      </c>
      <c r="H732" t="s">
        <v>74</v>
      </c>
      <c r="I732" t="s">
        <v>10580</v>
      </c>
      <c r="J732" t="s">
        <v>10581</v>
      </c>
      <c r="K732" t="s">
        <v>74</v>
      </c>
      <c r="L732" t="s">
        <v>74</v>
      </c>
      <c r="M732" t="s">
        <v>77</v>
      </c>
      <c r="N732" t="s">
        <v>78</v>
      </c>
      <c r="O732" t="s">
        <v>74</v>
      </c>
      <c r="P732" t="s">
        <v>74</v>
      </c>
      <c r="Q732" t="s">
        <v>74</v>
      </c>
      <c r="R732" t="s">
        <v>74</v>
      </c>
      <c r="S732" t="s">
        <v>74</v>
      </c>
      <c r="T732" t="s">
        <v>10582</v>
      </c>
      <c r="U732" t="s">
        <v>10583</v>
      </c>
      <c r="V732" t="s">
        <v>10584</v>
      </c>
      <c r="W732" t="s">
        <v>10585</v>
      </c>
      <c r="X732" t="s">
        <v>132</v>
      </c>
      <c r="Y732" t="s">
        <v>10586</v>
      </c>
      <c r="Z732" t="s">
        <v>10587</v>
      </c>
      <c r="AA732" t="s">
        <v>10588</v>
      </c>
      <c r="AB732" t="s">
        <v>10589</v>
      </c>
      <c r="AC732" t="s">
        <v>74</v>
      </c>
      <c r="AD732" t="s">
        <v>74</v>
      </c>
      <c r="AE732" t="s">
        <v>74</v>
      </c>
      <c r="AF732" t="s">
        <v>74</v>
      </c>
      <c r="AG732">
        <v>61</v>
      </c>
      <c r="AH732">
        <v>21</v>
      </c>
      <c r="AI732">
        <v>22</v>
      </c>
      <c r="AJ732">
        <v>0</v>
      </c>
      <c r="AK732">
        <v>19</v>
      </c>
      <c r="AL732" t="s">
        <v>528</v>
      </c>
      <c r="AM732" t="s">
        <v>529</v>
      </c>
      <c r="AN732" t="s">
        <v>530</v>
      </c>
      <c r="AO732" t="s">
        <v>10590</v>
      </c>
      <c r="AP732" t="s">
        <v>10591</v>
      </c>
      <c r="AQ732" t="s">
        <v>74</v>
      </c>
      <c r="AR732" t="s">
        <v>10592</v>
      </c>
      <c r="AS732" t="s">
        <v>10593</v>
      </c>
      <c r="AT732" t="s">
        <v>10594</v>
      </c>
      <c r="AU732">
        <v>2003</v>
      </c>
      <c r="AV732">
        <v>297</v>
      </c>
      <c r="AW732">
        <v>2</v>
      </c>
      <c r="AX732" t="s">
        <v>74</v>
      </c>
      <c r="AY732" t="s">
        <v>74</v>
      </c>
      <c r="AZ732" t="s">
        <v>74</v>
      </c>
      <c r="BA732" t="s">
        <v>74</v>
      </c>
      <c r="BB732">
        <v>203</v>
      </c>
      <c r="BC732">
        <v>217</v>
      </c>
      <c r="BD732" t="s">
        <v>74</v>
      </c>
      <c r="BE732" t="s">
        <v>10595</v>
      </c>
      <c r="BF732" t="str">
        <f>HYPERLINK("http://dx.doi.org/10.1016/j.jembe.2003.07.007","http://dx.doi.org/10.1016/j.jembe.2003.07.007")</f>
        <v>http://dx.doi.org/10.1016/j.jembe.2003.07.007</v>
      </c>
      <c r="BG732" t="s">
        <v>74</v>
      </c>
      <c r="BH732" t="s">
        <v>74</v>
      </c>
      <c r="BI732">
        <v>15</v>
      </c>
      <c r="BJ732" t="s">
        <v>1282</v>
      </c>
      <c r="BK732" t="s">
        <v>96</v>
      </c>
      <c r="BL732" t="s">
        <v>1117</v>
      </c>
      <c r="BM732" t="s">
        <v>10596</v>
      </c>
      <c r="BN732" t="s">
        <v>74</v>
      </c>
      <c r="BO732" t="s">
        <v>74</v>
      </c>
      <c r="BP732" t="s">
        <v>74</v>
      </c>
      <c r="BQ732" t="s">
        <v>74</v>
      </c>
      <c r="BR732" t="s">
        <v>99</v>
      </c>
      <c r="BS732" t="s">
        <v>10597</v>
      </c>
      <c r="BT732" t="str">
        <f>HYPERLINK("https%3A%2F%2Fwww.webofscience.com%2Fwos%2Fwoscc%2Ffull-record%2FWOS:000186486700005","View Full Record in Web of Science")</f>
        <v>View Full Record in Web of Science</v>
      </c>
    </row>
    <row r="733" spans="1:72" x14ac:dyDescent="0.15">
      <c r="A733" t="s">
        <v>72</v>
      </c>
      <c r="B733" t="s">
        <v>10598</v>
      </c>
      <c r="C733" t="s">
        <v>74</v>
      </c>
      <c r="D733" t="s">
        <v>74</v>
      </c>
      <c r="E733" t="s">
        <v>74</v>
      </c>
      <c r="F733" t="s">
        <v>10598</v>
      </c>
      <c r="G733" t="s">
        <v>74</v>
      </c>
      <c r="H733" t="s">
        <v>74</v>
      </c>
      <c r="I733" t="s">
        <v>10599</v>
      </c>
      <c r="J733" t="s">
        <v>356</v>
      </c>
      <c r="K733" t="s">
        <v>74</v>
      </c>
      <c r="L733" t="s">
        <v>74</v>
      </c>
      <c r="M733" t="s">
        <v>77</v>
      </c>
      <c r="N733" t="s">
        <v>78</v>
      </c>
      <c r="O733" t="s">
        <v>74</v>
      </c>
      <c r="P733" t="s">
        <v>74</v>
      </c>
      <c r="Q733" t="s">
        <v>74</v>
      </c>
      <c r="R733" t="s">
        <v>74</v>
      </c>
      <c r="S733" t="s">
        <v>74</v>
      </c>
      <c r="T733" t="s">
        <v>10600</v>
      </c>
      <c r="U733" t="s">
        <v>10601</v>
      </c>
      <c r="V733" t="s">
        <v>10602</v>
      </c>
      <c r="W733" t="s">
        <v>10603</v>
      </c>
      <c r="X733" t="s">
        <v>10604</v>
      </c>
      <c r="Y733" t="s">
        <v>10605</v>
      </c>
      <c r="Z733" t="s">
        <v>10606</v>
      </c>
      <c r="AA733" t="s">
        <v>10607</v>
      </c>
      <c r="AB733" t="s">
        <v>10608</v>
      </c>
      <c r="AC733" t="s">
        <v>74</v>
      </c>
      <c r="AD733" t="s">
        <v>74</v>
      </c>
      <c r="AE733" t="s">
        <v>74</v>
      </c>
      <c r="AF733" t="s">
        <v>74</v>
      </c>
      <c r="AG733">
        <v>42</v>
      </c>
      <c r="AH733">
        <v>194</v>
      </c>
      <c r="AI733">
        <v>223</v>
      </c>
      <c r="AJ733">
        <v>6</v>
      </c>
      <c r="AK733">
        <v>120</v>
      </c>
      <c r="AL733" t="s">
        <v>363</v>
      </c>
      <c r="AM733" t="s">
        <v>364</v>
      </c>
      <c r="AN733" t="s">
        <v>365</v>
      </c>
      <c r="AO733" t="s">
        <v>366</v>
      </c>
      <c r="AP733" t="s">
        <v>604</v>
      </c>
      <c r="AQ733" t="s">
        <v>74</v>
      </c>
      <c r="AR733" t="s">
        <v>367</v>
      </c>
      <c r="AS733" t="s">
        <v>368</v>
      </c>
      <c r="AT733" t="s">
        <v>10609</v>
      </c>
      <c r="AU733">
        <v>2003</v>
      </c>
      <c r="AV733">
        <v>17</v>
      </c>
      <c r="AW733">
        <v>4</v>
      </c>
      <c r="AX733" t="s">
        <v>74</v>
      </c>
      <c r="AY733" t="s">
        <v>74</v>
      </c>
      <c r="AZ733" t="s">
        <v>74</v>
      </c>
      <c r="BA733" t="s">
        <v>74</v>
      </c>
      <c r="BB733" t="s">
        <v>74</v>
      </c>
      <c r="BC733" t="s">
        <v>74</v>
      </c>
      <c r="BD733">
        <v>1125</v>
      </c>
      <c r="BE733" t="s">
        <v>10610</v>
      </c>
      <c r="BF733" t="str">
        <f>HYPERLINK("http://dx.doi.org/10.1029/2002GB001997","http://dx.doi.org/10.1029/2002GB001997")</f>
        <v>http://dx.doi.org/10.1029/2002GB001997</v>
      </c>
      <c r="BG733" t="s">
        <v>74</v>
      </c>
      <c r="BH733" t="s">
        <v>74</v>
      </c>
      <c r="BI733">
        <v>32</v>
      </c>
      <c r="BJ733" t="s">
        <v>372</v>
      </c>
      <c r="BK733" t="s">
        <v>96</v>
      </c>
      <c r="BL733" t="s">
        <v>373</v>
      </c>
      <c r="BM733" t="s">
        <v>10611</v>
      </c>
      <c r="BN733" t="s">
        <v>74</v>
      </c>
      <c r="BO733" t="s">
        <v>541</v>
      </c>
      <c r="BP733" t="s">
        <v>74</v>
      </c>
      <c r="BQ733" t="s">
        <v>74</v>
      </c>
      <c r="BR733" t="s">
        <v>99</v>
      </c>
      <c r="BS733" t="s">
        <v>10612</v>
      </c>
      <c r="BT733" t="str">
        <f>HYPERLINK("https%3A%2F%2Fwww.webofscience.com%2Fwos%2Fwoscc%2Ffull-record%2FWOS:000187865200001","View Full Record in Web of Science")</f>
        <v>View Full Record in Web of Science</v>
      </c>
    </row>
    <row r="734" spans="1:72" x14ac:dyDescent="0.15">
      <c r="A734" t="s">
        <v>72</v>
      </c>
      <c r="B734" t="s">
        <v>10613</v>
      </c>
      <c r="C734" t="s">
        <v>74</v>
      </c>
      <c r="D734" t="s">
        <v>74</v>
      </c>
      <c r="E734" t="s">
        <v>74</v>
      </c>
      <c r="F734" t="s">
        <v>10613</v>
      </c>
      <c r="G734" t="s">
        <v>74</v>
      </c>
      <c r="H734" t="s">
        <v>74</v>
      </c>
      <c r="I734" t="s">
        <v>10614</v>
      </c>
      <c r="J734" t="s">
        <v>10615</v>
      </c>
      <c r="K734" t="s">
        <v>74</v>
      </c>
      <c r="L734" t="s">
        <v>74</v>
      </c>
      <c r="M734" t="s">
        <v>77</v>
      </c>
      <c r="N734" t="s">
        <v>311</v>
      </c>
      <c r="O734" t="s">
        <v>10616</v>
      </c>
      <c r="P734" t="s">
        <v>10617</v>
      </c>
      <c r="Q734" t="s">
        <v>10618</v>
      </c>
      <c r="R734" t="s">
        <v>74</v>
      </c>
      <c r="S734" t="s">
        <v>74</v>
      </c>
      <c r="T734" t="s">
        <v>10619</v>
      </c>
      <c r="U734" t="s">
        <v>10620</v>
      </c>
      <c r="V734" t="s">
        <v>10621</v>
      </c>
      <c r="W734" t="s">
        <v>10622</v>
      </c>
      <c r="X734" t="s">
        <v>10623</v>
      </c>
      <c r="Y734" t="s">
        <v>10624</v>
      </c>
      <c r="Z734" t="s">
        <v>74</v>
      </c>
      <c r="AA734" t="s">
        <v>74</v>
      </c>
      <c r="AB734" t="s">
        <v>74</v>
      </c>
      <c r="AC734" t="s">
        <v>74</v>
      </c>
      <c r="AD734" t="s">
        <v>74</v>
      </c>
      <c r="AE734" t="s">
        <v>74</v>
      </c>
      <c r="AF734" t="s">
        <v>74</v>
      </c>
      <c r="AG734">
        <v>44</v>
      </c>
      <c r="AH734">
        <v>6</v>
      </c>
      <c r="AI734">
        <v>6</v>
      </c>
      <c r="AJ734">
        <v>0</v>
      </c>
      <c r="AK734">
        <v>2</v>
      </c>
      <c r="AL734" t="s">
        <v>528</v>
      </c>
      <c r="AM734" t="s">
        <v>529</v>
      </c>
      <c r="AN734" t="s">
        <v>530</v>
      </c>
      <c r="AO734" t="s">
        <v>10625</v>
      </c>
      <c r="AP734" t="s">
        <v>74</v>
      </c>
      <c r="AQ734" t="s">
        <v>74</v>
      </c>
      <c r="AR734" t="s">
        <v>10626</v>
      </c>
      <c r="AS734" t="s">
        <v>10627</v>
      </c>
      <c r="AT734" t="s">
        <v>10628</v>
      </c>
      <c r="AU734">
        <v>2003</v>
      </c>
      <c r="AV734">
        <v>120</v>
      </c>
      <c r="AW734" t="s">
        <v>10341</v>
      </c>
      <c r="AX734" t="s">
        <v>74</v>
      </c>
      <c r="AY734" t="s">
        <v>74</v>
      </c>
      <c r="AZ734" t="s">
        <v>74</v>
      </c>
      <c r="BA734" t="s">
        <v>74</v>
      </c>
      <c r="BB734">
        <v>69</v>
      </c>
      <c r="BC734">
        <v>82</v>
      </c>
      <c r="BD734" t="s">
        <v>74</v>
      </c>
      <c r="BE734" t="s">
        <v>10629</v>
      </c>
      <c r="BF734" t="str">
        <f>HYPERLINK("http://dx.doi.org/10.1016/j.agrformet.2003.08.017","http://dx.doi.org/10.1016/j.agrformet.2003.08.017")</f>
        <v>http://dx.doi.org/10.1016/j.agrformet.2003.08.017</v>
      </c>
      <c r="BG734" t="s">
        <v>74</v>
      </c>
      <c r="BH734" t="s">
        <v>74</v>
      </c>
      <c r="BI734">
        <v>14</v>
      </c>
      <c r="BJ734" t="s">
        <v>10630</v>
      </c>
      <c r="BK734" t="s">
        <v>1116</v>
      </c>
      <c r="BL734" t="s">
        <v>10631</v>
      </c>
      <c r="BM734" t="s">
        <v>10632</v>
      </c>
      <c r="BN734" t="s">
        <v>74</v>
      </c>
      <c r="BO734" t="s">
        <v>74</v>
      </c>
      <c r="BP734" t="s">
        <v>74</v>
      </c>
      <c r="BQ734" t="s">
        <v>74</v>
      </c>
      <c r="BR734" t="s">
        <v>99</v>
      </c>
      <c r="BS734" t="s">
        <v>10633</v>
      </c>
      <c r="BT734" t="str">
        <f>HYPERLINK("https%3A%2F%2Fwww.webofscience.com%2Fwos%2Fwoscc%2Ffull-record%2FWOS:000187403400008","View Full Record in Web of Science")</f>
        <v>View Full Record in Web of Science</v>
      </c>
    </row>
    <row r="735" spans="1:72" x14ac:dyDescent="0.15">
      <c r="A735" t="s">
        <v>72</v>
      </c>
      <c r="B735" t="s">
        <v>10634</v>
      </c>
      <c r="C735" t="s">
        <v>74</v>
      </c>
      <c r="D735" t="s">
        <v>74</v>
      </c>
      <c r="E735" t="s">
        <v>74</v>
      </c>
      <c r="F735" t="s">
        <v>10634</v>
      </c>
      <c r="G735" t="s">
        <v>74</v>
      </c>
      <c r="H735" t="s">
        <v>74</v>
      </c>
      <c r="I735" t="s">
        <v>10635</v>
      </c>
      <c r="J735" t="s">
        <v>2431</v>
      </c>
      <c r="K735" t="s">
        <v>74</v>
      </c>
      <c r="L735" t="s">
        <v>74</v>
      </c>
      <c r="M735" t="s">
        <v>77</v>
      </c>
      <c r="N735" t="s">
        <v>78</v>
      </c>
      <c r="O735" t="s">
        <v>74</v>
      </c>
      <c r="P735" t="s">
        <v>74</v>
      </c>
      <c r="Q735" t="s">
        <v>74</v>
      </c>
      <c r="R735" t="s">
        <v>74</v>
      </c>
      <c r="S735" t="s">
        <v>74</v>
      </c>
      <c r="T735" t="s">
        <v>10636</v>
      </c>
      <c r="U735" t="s">
        <v>10637</v>
      </c>
      <c r="V735" t="s">
        <v>10638</v>
      </c>
      <c r="W735" t="s">
        <v>10639</v>
      </c>
      <c r="X735" t="s">
        <v>10640</v>
      </c>
      <c r="Y735" t="s">
        <v>10641</v>
      </c>
      <c r="Z735" t="s">
        <v>74</v>
      </c>
      <c r="AA735" t="s">
        <v>10642</v>
      </c>
      <c r="AB735" t="s">
        <v>10643</v>
      </c>
      <c r="AC735" t="s">
        <v>74</v>
      </c>
      <c r="AD735" t="s">
        <v>74</v>
      </c>
      <c r="AE735" t="s">
        <v>74</v>
      </c>
      <c r="AF735" t="s">
        <v>74</v>
      </c>
      <c r="AG735">
        <v>18</v>
      </c>
      <c r="AH735">
        <v>59</v>
      </c>
      <c r="AI735">
        <v>65</v>
      </c>
      <c r="AJ735">
        <v>0</v>
      </c>
      <c r="AK735">
        <v>26</v>
      </c>
      <c r="AL735" t="s">
        <v>363</v>
      </c>
      <c r="AM735" t="s">
        <v>364</v>
      </c>
      <c r="AN735" t="s">
        <v>365</v>
      </c>
      <c r="AO735" t="s">
        <v>2434</v>
      </c>
      <c r="AP735" t="s">
        <v>74</v>
      </c>
      <c r="AQ735" t="s">
        <v>74</v>
      </c>
      <c r="AR735" t="s">
        <v>2435</v>
      </c>
      <c r="AS735" t="s">
        <v>2436</v>
      </c>
      <c r="AT735" t="s">
        <v>10628</v>
      </c>
      <c r="AU735">
        <v>2003</v>
      </c>
      <c r="AV735">
        <v>4</v>
      </c>
      <c r="AW735" t="s">
        <v>74</v>
      </c>
      <c r="AX735" t="s">
        <v>74</v>
      </c>
      <c r="AY735" t="s">
        <v>74</v>
      </c>
      <c r="AZ735" t="s">
        <v>74</v>
      </c>
      <c r="BA735" t="s">
        <v>74</v>
      </c>
      <c r="BB735" t="s">
        <v>74</v>
      </c>
      <c r="BC735" t="s">
        <v>74</v>
      </c>
      <c r="BD735">
        <v>1107</v>
      </c>
      <c r="BE735" t="s">
        <v>10644</v>
      </c>
      <c r="BF735" t="str">
        <f>HYPERLINK("http://dx.doi.org/10.1029/2003GC000627","http://dx.doi.org/10.1029/2003GC000627")</f>
        <v>http://dx.doi.org/10.1029/2003GC000627</v>
      </c>
      <c r="BG735" t="s">
        <v>74</v>
      </c>
      <c r="BH735" t="s">
        <v>74</v>
      </c>
      <c r="BI735">
        <v>8</v>
      </c>
      <c r="BJ735" t="s">
        <v>262</v>
      </c>
      <c r="BK735" t="s">
        <v>96</v>
      </c>
      <c r="BL735" t="s">
        <v>262</v>
      </c>
      <c r="BM735" t="s">
        <v>10645</v>
      </c>
      <c r="BN735" t="s">
        <v>74</v>
      </c>
      <c r="BO735" t="s">
        <v>541</v>
      </c>
      <c r="BP735" t="s">
        <v>74</v>
      </c>
      <c r="BQ735" t="s">
        <v>74</v>
      </c>
      <c r="BR735" t="s">
        <v>99</v>
      </c>
      <c r="BS735" t="s">
        <v>10646</v>
      </c>
      <c r="BT735" t="str">
        <f>HYPERLINK("https%3A%2F%2Fwww.webofscience.com%2Fwos%2Fwoscc%2Ffull-record%2FWOS:000187864500001","View Full Record in Web of Science")</f>
        <v>View Full Record in Web of Science</v>
      </c>
    </row>
    <row r="736" spans="1:72" x14ac:dyDescent="0.15">
      <c r="A736" t="s">
        <v>72</v>
      </c>
      <c r="B736" t="s">
        <v>10647</v>
      </c>
      <c r="C736" t="s">
        <v>74</v>
      </c>
      <c r="D736" t="s">
        <v>74</v>
      </c>
      <c r="E736" t="s">
        <v>74</v>
      </c>
      <c r="F736" t="s">
        <v>10647</v>
      </c>
      <c r="G736" t="s">
        <v>74</v>
      </c>
      <c r="H736" t="s">
        <v>74</v>
      </c>
      <c r="I736" t="s">
        <v>10648</v>
      </c>
      <c r="J736" t="s">
        <v>419</v>
      </c>
      <c r="K736" t="s">
        <v>74</v>
      </c>
      <c r="L736" t="s">
        <v>74</v>
      </c>
      <c r="M736" t="s">
        <v>77</v>
      </c>
      <c r="N736" t="s">
        <v>78</v>
      </c>
      <c r="O736" t="s">
        <v>74</v>
      </c>
      <c r="P736" t="s">
        <v>74</v>
      </c>
      <c r="Q736" t="s">
        <v>74</v>
      </c>
      <c r="R736" t="s">
        <v>74</v>
      </c>
      <c r="S736" t="s">
        <v>74</v>
      </c>
      <c r="T736" t="s">
        <v>10649</v>
      </c>
      <c r="U736" t="s">
        <v>10650</v>
      </c>
      <c r="V736" t="s">
        <v>10651</v>
      </c>
      <c r="W736" t="s">
        <v>10652</v>
      </c>
      <c r="X736" t="s">
        <v>10653</v>
      </c>
      <c r="Y736" t="s">
        <v>10654</v>
      </c>
      <c r="Z736" t="s">
        <v>10655</v>
      </c>
      <c r="AA736" t="s">
        <v>10656</v>
      </c>
      <c r="AB736" t="s">
        <v>10657</v>
      </c>
      <c r="AC736" t="s">
        <v>74</v>
      </c>
      <c r="AD736" t="s">
        <v>74</v>
      </c>
      <c r="AE736" t="s">
        <v>74</v>
      </c>
      <c r="AF736" t="s">
        <v>74</v>
      </c>
      <c r="AG736">
        <v>40</v>
      </c>
      <c r="AH736">
        <v>51</v>
      </c>
      <c r="AI736">
        <v>59</v>
      </c>
      <c r="AJ736">
        <v>1</v>
      </c>
      <c r="AK736">
        <v>33</v>
      </c>
      <c r="AL736" t="s">
        <v>363</v>
      </c>
      <c r="AM736" t="s">
        <v>364</v>
      </c>
      <c r="AN736" t="s">
        <v>365</v>
      </c>
      <c r="AO736" t="s">
        <v>429</v>
      </c>
      <c r="AP736" t="s">
        <v>430</v>
      </c>
      <c r="AQ736" t="s">
        <v>74</v>
      </c>
      <c r="AR736" t="s">
        <v>431</v>
      </c>
      <c r="AS736" t="s">
        <v>432</v>
      </c>
      <c r="AT736" t="s">
        <v>10628</v>
      </c>
      <c r="AU736">
        <v>2003</v>
      </c>
      <c r="AV736">
        <v>108</v>
      </c>
      <c r="AW736" t="s">
        <v>10658</v>
      </c>
      <c r="AX736" t="s">
        <v>74</v>
      </c>
      <c r="AY736" t="s">
        <v>74</v>
      </c>
      <c r="AZ736" t="s">
        <v>74</v>
      </c>
      <c r="BA736" t="s">
        <v>74</v>
      </c>
      <c r="BB736" t="s">
        <v>74</v>
      </c>
      <c r="BC736" t="s">
        <v>74</v>
      </c>
      <c r="BD736">
        <v>4786</v>
      </c>
      <c r="BE736" t="s">
        <v>10659</v>
      </c>
      <c r="BF736" t="str">
        <f>HYPERLINK("http://dx.doi.org/10.1029/2003JD003513","http://dx.doi.org/10.1029/2003JD003513")</f>
        <v>http://dx.doi.org/10.1029/2003JD003513</v>
      </c>
      <c r="BG736" t="s">
        <v>74</v>
      </c>
      <c r="BH736" t="s">
        <v>74</v>
      </c>
      <c r="BI736">
        <v>7</v>
      </c>
      <c r="BJ736" t="s">
        <v>186</v>
      </c>
      <c r="BK736" t="s">
        <v>96</v>
      </c>
      <c r="BL736" t="s">
        <v>186</v>
      </c>
      <c r="BM736" t="s">
        <v>10660</v>
      </c>
      <c r="BN736" t="s">
        <v>74</v>
      </c>
      <c r="BO736" t="s">
        <v>541</v>
      </c>
      <c r="BP736" t="s">
        <v>74</v>
      </c>
      <c r="BQ736" t="s">
        <v>74</v>
      </c>
      <c r="BR736" t="s">
        <v>99</v>
      </c>
      <c r="BS736" t="s">
        <v>10661</v>
      </c>
      <c r="BT736" t="str">
        <f>HYPERLINK("https%3A%2F%2Fwww.webofscience.com%2Fwos%2Fwoscc%2Ffull-record%2FWOS:000187865400004","View Full Record in Web of Science")</f>
        <v>View Full Record in Web of Science</v>
      </c>
    </row>
    <row r="737" spans="1:72" x14ac:dyDescent="0.15">
      <c r="A737" t="s">
        <v>72</v>
      </c>
      <c r="B737" t="s">
        <v>10662</v>
      </c>
      <c r="C737" t="s">
        <v>74</v>
      </c>
      <c r="D737" t="s">
        <v>74</v>
      </c>
      <c r="E737" t="s">
        <v>74</v>
      </c>
      <c r="F737" t="s">
        <v>10662</v>
      </c>
      <c r="G737" t="s">
        <v>74</v>
      </c>
      <c r="H737" t="s">
        <v>74</v>
      </c>
      <c r="I737" t="s">
        <v>10663</v>
      </c>
      <c r="J737" t="s">
        <v>545</v>
      </c>
      <c r="K737" t="s">
        <v>74</v>
      </c>
      <c r="L737" t="s">
        <v>74</v>
      </c>
      <c r="M737" t="s">
        <v>77</v>
      </c>
      <c r="N737" t="s">
        <v>78</v>
      </c>
      <c r="O737" t="s">
        <v>74</v>
      </c>
      <c r="P737" t="s">
        <v>74</v>
      </c>
      <c r="Q737" t="s">
        <v>74</v>
      </c>
      <c r="R737" t="s">
        <v>74</v>
      </c>
      <c r="S737" t="s">
        <v>74</v>
      </c>
      <c r="T737" t="s">
        <v>74</v>
      </c>
      <c r="U737" t="s">
        <v>10664</v>
      </c>
      <c r="V737" t="s">
        <v>10665</v>
      </c>
      <c r="W737" t="s">
        <v>10666</v>
      </c>
      <c r="X737" t="s">
        <v>10667</v>
      </c>
      <c r="Y737" t="s">
        <v>10668</v>
      </c>
      <c r="Z737" t="s">
        <v>74</v>
      </c>
      <c r="AA737" t="s">
        <v>10669</v>
      </c>
      <c r="AB737" t="s">
        <v>10670</v>
      </c>
      <c r="AC737" t="s">
        <v>74</v>
      </c>
      <c r="AD737" t="s">
        <v>74</v>
      </c>
      <c r="AE737" t="s">
        <v>74</v>
      </c>
      <c r="AF737" t="s">
        <v>74</v>
      </c>
      <c r="AG737">
        <v>12</v>
      </c>
      <c r="AH737">
        <v>7</v>
      </c>
      <c r="AI737">
        <v>7</v>
      </c>
      <c r="AJ737">
        <v>0</v>
      </c>
      <c r="AK737">
        <v>5</v>
      </c>
      <c r="AL737" t="s">
        <v>363</v>
      </c>
      <c r="AM737" t="s">
        <v>364</v>
      </c>
      <c r="AN737" t="s">
        <v>365</v>
      </c>
      <c r="AO737" t="s">
        <v>553</v>
      </c>
      <c r="AP737" t="s">
        <v>74</v>
      </c>
      <c r="AQ737" t="s">
        <v>74</v>
      </c>
      <c r="AR737" t="s">
        <v>555</v>
      </c>
      <c r="AS737" t="s">
        <v>556</v>
      </c>
      <c r="AT737" t="s">
        <v>10671</v>
      </c>
      <c r="AU737">
        <v>2003</v>
      </c>
      <c r="AV737">
        <v>30</v>
      </c>
      <c r="AW737">
        <v>24</v>
      </c>
      <c r="AX737" t="s">
        <v>74</v>
      </c>
      <c r="AY737" t="s">
        <v>74</v>
      </c>
      <c r="AZ737" t="s">
        <v>74</v>
      </c>
      <c r="BA737" t="s">
        <v>74</v>
      </c>
      <c r="BB737" t="s">
        <v>74</v>
      </c>
      <c r="BC737" t="s">
        <v>74</v>
      </c>
      <c r="BD737">
        <v>2269</v>
      </c>
      <c r="BE737" t="s">
        <v>10672</v>
      </c>
      <c r="BF737" t="str">
        <f>HYPERLINK("http://dx.doi.org/10.1029/2003GL018913","http://dx.doi.org/10.1029/2003GL018913")</f>
        <v>http://dx.doi.org/10.1029/2003GL018913</v>
      </c>
      <c r="BG737" t="s">
        <v>74</v>
      </c>
      <c r="BH737" t="s">
        <v>74</v>
      </c>
      <c r="BI737">
        <v>4</v>
      </c>
      <c r="BJ737" t="s">
        <v>560</v>
      </c>
      <c r="BK737" t="s">
        <v>96</v>
      </c>
      <c r="BL737" t="s">
        <v>561</v>
      </c>
      <c r="BM737" t="s">
        <v>10673</v>
      </c>
      <c r="BN737" t="s">
        <v>74</v>
      </c>
      <c r="BO737" t="s">
        <v>541</v>
      </c>
      <c r="BP737" t="s">
        <v>74</v>
      </c>
      <c r="BQ737" t="s">
        <v>74</v>
      </c>
      <c r="BR737" t="s">
        <v>99</v>
      </c>
      <c r="BS737" t="s">
        <v>10674</v>
      </c>
      <c r="BT737" t="str">
        <f>HYPERLINK("https%3A%2F%2Fwww.webofscience.com%2Fwos%2Fwoscc%2Ffull-record%2FWOS:000187864700005","View Full Record in Web of Science")</f>
        <v>View Full Record in Web of Science</v>
      </c>
    </row>
    <row r="738" spans="1:72" x14ac:dyDescent="0.15">
      <c r="A738" t="s">
        <v>72</v>
      </c>
      <c r="B738" t="s">
        <v>10675</v>
      </c>
      <c r="C738" t="s">
        <v>74</v>
      </c>
      <c r="D738" t="s">
        <v>74</v>
      </c>
      <c r="E738" t="s">
        <v>74</v>
      </c>
      <c r="F738" t="s">
        <v>10675</v>
      </c>
      <c r="G738" t="s">
        <v>74</v>
      </c>
      <c r="H738" t="s">
        <v>74</v>
      </c>
      <c r="I738" t="s">
        <v>10676</v>
      </c>
      <c r="J738" t="s">
        <v>378</v>
      </c>
      <c r="K738" t="s">
        <v>74</v>
      </c>
      <c r="L738" t="s">
        <v>74</v>
      </c>
      <c r="M738" t="s">
        <v>77</v>
      </c>
      <c r="N738" t="s">
        <v>78</v>
      </c>
      <c r="O738" t="s">
        <v>74</v>
      </c>
      <c r="P738" t="s">
        <v>74</v>
      </c>
      <c r="Q738" t="s">
        <v>74</v>
      </c>
      <c r="R738" t="s">
        <v>74</v>
      </c>
      <c r="S738" t="s">
        <v>74</v>
      </c>
      <c r="T738" t="s">
        <v>10677</v>
      </c>
      <c r="U738" t="s">
        <v>10678</v>
      </c>
      <c r="V738" t="s">
        <v>10679</v>
      </c>
      <c r="W738" t="s">
        <v>10680</v>
      </c>
      <c r="X738" t="s">
        <v>10681</v>
      </c>
      <c r="Y738" t="s">
        <v>10682</v>
      </c>
      <c r="Z738" t="s">
        <v>10683</v>
      </c>
      <c r="AA738" t="s">
        <v>10684</v>
      </c>
      <c r="AB738" t="s">
        <v>10685</v>
      </c>
      <c r="AC738" t="s">
        <v>74</v>
      </c>
      <c r="AD738" t="s">
        <v>74</v>
      </c>
      <c r="AE738" t="s">
        <v>74</v>
      </c>
      <c r="AF738" t="s">
        <v>74</v>
      </c>
      <c r="AG738">
        <v>17</v>
      </c>
      <c r="AH738">
        <v>26</v>
      </c>
      <c r="AI738">
        <v>27</v>
      </c>
      <c r="AJ738">
        <v>0</v>
      </c>
      <c r="AK738">
        <v>2</v>
      </c>
      <c r="AL738" t="s">
        <v>363</v>
      </c>
      <c r="AM738" t="s">
        <v>364</v>
      </c>
      <c r="AN738" t="s">
        <v>365</v>
      </c>
      <c r="AO738" t="s">
        <v>388</v>
      </c>
      <c r="AP738" t="s">
        <v>389</v>
      </c>
      <c r="AQ738" t="s">
        <v>74</v>
      </c>
      <c r="AR738" t="s">
        <v>390</v>
      </c>
      <c r="AS738" t="s">
        <v>391</v>
      </c>
      <c r="AT738" t="s">
        <v>10671</v>
      </c>
      <c r="AU738">
        <v>2003</v>
      </c>
      <c r="AV738">
        <v>108</v>
      </c>
      <c r="AW738" t="s">
        <v>10575</v>
      </c>
      <c r="AX738" t="s">
        <v>74</v>
      </c>
      <c r="AY738" t="s">
        <v>74</v>
      </c>
      <c r="AZ738" t="s">
        <v>74</v>
      </c>
      <c r="BA738" t="s">
        <v>74</v>
      </c>
      <c r="BB738" t="s">
        <v>74</v>
      </c>
      <c r="BC738" t="s">
        <v>74</v>
      </c>
      <c r="BD738">
        <v>1450</v>
      </c>
      <c r="BE738" t="s">
        <v>10686</v>
      </c>
      <c r="BF738" t="str">
        <f>HYPERLINK("http://dx.doi.org/10.1029/2003JA009838","http://dx.doi.org/10.1029/2003JA009838")</f>
        <v>http://dx.doi.org/10.1029/2003JA009838</v>
      </c>
      <c r="BG738" t="s">
        <v>74</v>
      </c>
      <c r="BH738" t="s">
        <v>74</v>
      </c>
      <c r="BI738">
        <v>8</v>
      </c>
      <c r="BJ738" t="s">
        <v>395</v>
      </c>
      <c r="BK738" t="s">
        <v>96</v>
      </c>
      <c r="BL738" t="s">
        <v>395</v>
      </c>
      <c r="BM738" t="s">
        <v>10687</v>
      </c>
      <c r="BN738" t="s">
        <v>74</v>
      </c>
      <c r="BO738" t="s">
        <v>541</v>
      </c>
      <c r="BP738" t="s">
        <v>74</v>
      </c>
      <c r="BQ738" t="s">
        <v>74</v>
      </c>
      <c r="BR738" t="s">
        <v>99</v>
      </c>
      <c r="BS738" t="s">
        <v>10688</v>
      </c>
      <c r="BT738" t="str">
        <f>HYPERLINK("https%3A%2F%2Fwww.webofscience.com%2Fwos%2Fwoscc%2Ffull-record%2FWOS:000187866400003","View Full Record in Web of Science")</f>
        <v>View Full Record in Web of Science</v>
      </c>
    </row>
    <row r="739" spans="1:72" x14ac:dyDescent="0.15">
      <c r="A739" t="s">
        <v>72</v>
      </c>
      <c r="B739" t="s">
        <v>10689</v>
      </c>
      <c r="C739" t="s">
        <v>74</v>
      </c>
      <c r="D739" t="s">
        <v>74</v>
      </c>
      <c r="E739" t="s">
        <v>74</v>
      </c>
      <c r="F739" t="s">
        <v>10689</v>
      </c>
      <c r="G739" t="s">
        <v>74</v>
      </c>
      <c r="H739" t="s">
        <v>74</v>
      </c>
      <c r="I739" t="s">
        <v>10690</v>
      </c>
      <c r="J739" t="s">
        <v>419</v>
      </c>
      <c r="K739" t="s">
        <v>74</v>
      </c>
      <c r="L739" t="s">
        <v>74</v>
      </c>
      <c r="M739" t="s">
        <v>77</v>
      </c>
      <c r="N739" t="s">
        <v>78</v>
      </c>
      <c r="O739" t="s">
        <v>74</v>
      </c>
      <c r="P739" t="s">
        <v>74</v>
      </c>
      <c r="Q739" t="s">
        <v>74</v>
      </c>
      <c r="R739" t="s">
        <v>74</v>
      </c>
      <c r="S739" t="s">
        <v>74</v>
      </c>
      <c r="T739" t="s">
        <v>10691</v>
      </c>
      <c r="U739" t="s">
        <v>10692</v>
      </c>
      <c r="V739" t="s">
        <v>10693</v>
      </c>
      <c r="W739" t="s">
        <v>647</v>
      </c>
      <c r="X739" t="s">
        <v>82</v>
      </c>
      <c r="Y739" t="s">
        <v>10694</v>
      </c>
      <c r="Z739" t="s">
        <v>10695</v>
      </c>
      <c r="AA739" t="s">
        <v>10696</v>
      </c>
      <c r="AB739" t="s">
        <v>10697</v>
      </c>
      <c r="AC739" t="s">
        <v>74</v>
      </c>
      <c r="AD739" t="s">
        <v>74</v>
      </c>
      <c r="AE739" t="s">
        <v>74</v>
      </c>
      <c r="AF739" t="s">
        <v>74</v>
      </c>
      <c r="AG739">
        <v>35</v>
      </c>
      <c r="AH739">
        <v>86</v>
      </c>
      <c r="AI739">
        <v>94</v>
      </c>
      <c r="AJ739">
        <v>2</v>
      </c>
      <c r="AK739">
        <v>25</v>
      </c>
      <c r="AL739" t="s">
        <v>363</v>
      </c>
      <c r="AM739" t="s">
        <v>364</v>
      </c>
      <c r="AN739" t="s">
        <v>365</v>
      </c>
      <c r="AO739" t="s">
        <v>429</v>
      </c>
      <c r="AP739" t="s">
        <v>74</v>
      </c>
      <c r="AQ739" t="s">
        <v>74</v>
      </c>
      <c r="AR739" t="s">
        <v>431</v>
      </c>
      <c r="AS739" t="s">
        <v>432</v>
      </c>
      <c r="AT739" t="s">
        <v>10698</v>
      </c>
      <c r="AU739">
        <v>2003</v>
      </c>
      <c r="AV739">
        <v>108</v>
      </c>
      <c r="AW739" t="s">
        <v>10658</v>
      </c>
      <c r="AX739" t="s">
        <v>74</v>
      </c>
      <c r="AY739" t="s">
        <v>74</v>
      </c>
      <c r="AZ739" t="s">
        <v>74</v>
      </c>
      <c r="BA739" t="s">
        <v>74</v>
      </c>
      <c r="BB739" t="s">
        <v>74</v>
      </c>
      <c r="BC739" t="s">
        <v>74</v>
      </c>
      <c r="BD739">
        <v>4775</v>
      </c>
      <c r="BE739" t="s">
        <v>10699</v>
      </c>
      <c r="BF739" t="str">
        <f>HYPERLINK("http://dx.doi.org/10.1029/2003JD003993","http://dx.doi.org/10.1029/2003JD003993")</f>
        <v>http://dx.doi.org/10.1029/2003JD003993</v>
      </c>
      <c r="BG739" t="s">
        <v>74</v>
      </c>
      <c r="BH739" t="s">
        <v>74</v>
      </c>
      <c r="BI739">
        <v>12</v>
      </c>
      <c r="BJ739" t="s">
        <v>186</v>
      </c>
      <c r="BK739" t="s">
        <v>96</v>
      </c>
      <c r="BL739" t="s">
        <v>186</v>
      </c>
      <c r="BM739" t="s">
        <v>10700</v>
      </c>
      <c r="BN739" t="s">
        <v>74</v>
      </c>
      <c r="BO739" t="s">
        <v>541</v>
      </c>
      <c r="BP739" t="s">
        <v>74</v>
      </c>
      <c r="BQ739" t="s">
        <v>74</v>
      </c>
      <c r="BR739" t="s">
        <v>99</v>
      </c>
      <c r="BS739" t="s">
        <v>10701</v>
      </c>
      <c r="BT739" t="str">
        <f>HYPERLINK("https%3A%2F%2Fwww.webofscience.com%2Fwos%2Fwoscc%2Ffull-record%2FWOS:000187858800003","View Full Record in Web of Science")</f>
        <v>View Full Record in Web of Science</v>
      </c>
    </row>
    <row r="740" spans="1:72" x14ac:dyDescent="0.15">
      <c r="A740" t="s">
        <v>72</v>
      </c>
      <c r="B740" t="s">
        <v>10702</v>
      </c>
      <c r="C740" t="s">
        <v>74</v>
      </c>
      <c r="D740" t="s">
        <v>74</v>
      </c>
      <c r="E740" t="s">
        <v>74</v>
      </c>
      <c r="F740" t="s">
        <v>10702</v>
      </c>
      <c r="G740" t="s">
        <v>74</v>
      </c>
      <c r="H740" t="s">
        <v>74</v>
      </c>
      <c r="I740" t="s">
        <v>10703</v>
      </c>
      <c r="J740" t="s">
        <v>378</v>
      </c>
      <c r="K740" t="s">
        <v>74</v>
      </c>
      <c r="L740" t="s">
        <v>74</v>
      </c>
      <c r="M740" t="s">
        <v>77</v>
      </c>
      <c r="N740" t="s">
        <v>78</v>
      </c>
      <c r="O740" t="s">
        <v>74</v>
      </c>
      <c r="P740" t="s">
        <v>74</v>
      </c>
      <c r="Q740" t="s">
        <v>74</v>
      </c>
      <c r="R740" t="s">
        <v>74</v>
      </c>
      <c r="S740" t="s">
        <v>74</v>
      </c>
      <c r="T740" t="s">
        <v>10704</v>
      </c>
      <c r="U740" t="s">
        <v>10705</v>
      </c>
      <c r="V740" t="s">
        <v>10706</v>
      </c>
      <c r="W740" t="s">
        <v>10707</v>
      </c>
      <c r="X740" t="s">
        <v>10708</v>
      </c>
      <c r="Y740" t="s">
        <v>7764</v>
      </c>
      <c r="Z740" t="s">
        <v>10709</v>
      </c>
      <c r="AA740" t="s">
        <v>10710</v>
      </c>
      <c r="AB740" t="s">
        <v>10711</v>
      </c>
      <c r="AC740" t="s">
        <v>74</v>
      </c>
      <c r="AD740" t="s">
        <v>74</v>
      </c>
      <c r="AE740" t="s">
        <v>74</v>
      </c>
      <c r="AF740" t="s">
        <v>74</v>
      </c>
      <c r="AG740">
        <v>49</v>
      </c>
      <c r="AH740">
        <v>37</v>
      </c>
      <c r="AI740">
        <v>40</v>
      </c>
      <c r="AJ740">
        <v>0</v>
      </c>
      <c r="AK740">
        <v>4</v>
      </c>
      <c r="AL740" t="s">
        <v>363</v>
      </c>
      <c r="AM740" t="s">
        <v>364</v>
      </c>
      <c r="AN740" t="s">
        <v>365</v>
      </c>
      <c r="AO740" t="s">
        <v>388</v>
      </c>
      <c r="AP740" t="s">
        <v>389</v>
      </c>
      <c r="AQ740" t="s">
        <v>74</v>
      </c>
      <c r="AR740" t="s">
        <v>390</v>
      </c>
      <c r="AS740" t="s">
        <v>391</v>
      </c>
      <c r="AT740" t="s">
        <v>10712</v>
      </c>
      <c r="AU740">
        <v>2003</v>
      </c>
      <c r="AV740">
        <v>108</v>
      </c>
      <c r="AW740" t="s">
        <v>10575</v>
      </c>
      <c r="AX740" t="s">
        <v>74</v>
      </c>
      <c r="AY740" t="s">
        <v>74</v>
      </c>
      <c r="AZ740" t="s">
        <v>74</v>
      </c>
      <c r="BA740" t="s">
        <v>74</v>
      </c>
      <c r="BB740" t="s">
        <v>74</v>
      </c>
      <c r="BC740" t="s">
        <v>74</v>
      </c>
      <c r="BD740">
        <v>1442</v>
      </c>
      <c r="BE740" t="s">
        <v>10713</v>
      </c>
      <c r="BF740" t="str">
        <f>HYPERLINK("http://dx.doi.org/10.1029/2003JA010092","http://dx.doi.org/10.1029/2003JA010092")</f>
        <v>http://dx.doi.org/10.1029/2003JA010092</v>
      </c>
      <c r="BG740" t="s">
        <v>74</v>
      </c>
      <c r="BH740" t="s">
        <v>74</v>
      </c>
      <c r="BI740">
        <v>11</v>
      </c>
      <c r="BJ740" t="s">
        <v>395</v>
      </c>
      <c r="BK740" t="s">
        <v>96</v>
      </c>
      <c r="BL740" t="s">
        <v>395</v>
      </c>
      <c r="BM740" t="s">
        <v>10714</v>
      </c>
      <c r="BN740" t="s">
        <v>74</v>
      </c>
      <c r="BO740" t="s">
        <v>541</v>
      </c>
      <c r="BP740" t="s">
        <v>74</v>
      </c>
      <c r="BQ740" t="s">
        <v>74</v>
      </c>
      <c r="BR740" t="s">
        <v>99</v>
      </c>
      <c r="BS740" t="s">
        <v>10715</v>
      </c>
      <c r="BT740" t="str">
        <f>HYPERLINK("https%3A%2F%2Fwww.webofscience.com%2Fwos%2Fwoscc%2Ffull-record%2FWOS:000187859700002","View Full Record in Web of Science")</f>
        <v>View Full Record in Web of Science</v>
      </c>
    </row>
    <row r="741" spans="1:72" x14ac:dyDescent="0.15">
      <c r="A741" t="s">
        <v>72</v>
      </c>
      <c r="B741" t="s">
        <v>10716</v>
      </c>
      <c r="C741" t="s">
        <v>74</v>
      </c>
      <c r="D741" t="s">
        <v>74</v>
      </c>
      <c r="E741" t="s">
        <v>74</v>
      </c>
      <c r="F741" t="s">
        <v>10716</v>
      </c>
      <c r="G741" t="s">
        <v>74</v>
      </c>
      <c r="H741" t="s">
        <v>74</v>
      </c>
      <c r="I741" t="s">
        <v>10717</v>
      </c>
      <c r="J741" t="s">
        <v>10718</v>
      </c>
      <c r="K741" t="s">
        <v>74</v>
      </c>
      <c r="L741" t="s">
        <v>74</v>
      </c>
      <c r="M741" t="s">
        <v>77</v>
      </c>
      <c r="N741" t="s">
        <v>78</v>
      </c>
      <c r="O741" t="s">
        <v>74</v>
      </c>
      <c r="P741" t="s">
        <v>74</v>
      </c>
      <c r="Q741" t="s">
        <v>74</v>
      </c>
      <c r="R741" t="s">
        <v>74</v>
      </c>
      <c r="S741" t="s">
        <v>74</v>
      </c>
      <c r="T741" t="s">
        <v>10719</v>
      </c>
      <c r="U741" t="s">
        <v>10720</v>
      </c>
      <c r="V741" t="s">
        <v>10721</v>
      </c>
      <c r="W741" t="s">
        <v>10722</v>
      </c>
      <c r="X741" t="s">
        <v>10723</v>
      </c>
      <c r="Y741" t="s">
        <v>10724</v>
      </c>
      <c r="Z741" t="s">
        <v>74</v>
      </c>
      <c r="AA741" t="s">
        <v>74</v>
      </c>
      <c r="AB741" t="s">
        <v>74</v>
      </c>
      <c r="AC741" t="s">
        <v>74</v>
      </c>
      <c r="AD741" t="s">
        <v>74</v>
      </c>
      <c r="AE741" t="s">
        <v>74</v>
      </c>
      <c r="AF741" t="s">
        <v>74</v>
      </c>
      <c r="AG741">
        <v>40</v>
      </c>
      <c r="AH741">
        <v>9</v>
      </c>
      <c r="AI741">
        <v>9</v>
      </c>
      <c r="AJ741">
        <v>1</v>
      </c>
      <c r="AK741">
        <v>7</v>
      </c>
      <c r="AL741" t="s">
        <v>528</v>
      </c>
      <c r="AM741" t="s">
        <v>529</v>
      </c>
      <c r="AN741" t="s">
        <v>530</v>
      </c>
      <c r="AO741" t="s">
        <v>10725</v>
      </c>
      <c r="AP741" t="s">
        <v>74</v>
      </c>
      <c r="AQ741" t="s">
        <v>74</v>
      </c>
      <c r="AR741" t="s">
        <v>10726</v>
      </c>
      <c r="AS741" t="s">
        <v>10727</v>
      </c>
      <c r="AT741" t="s">
        <v>10728</v>
      </c>
      <c r="AU741">
        <v>2003</v>
      </c>
      <c r="AV741">
        <v>661</v>
      </c>
      <c r="AW741" t="s">
        <v>74</v>
      </c>
      <c r="AX741" t="s">
        <v>74</v>
      </c>
      <c r="AY741" t="s">
        <v>74</v>
      </c>
      <c r="AZ741" t="s">
        <v>74</v>
      </c>
      <c r="BA741" t="s">
        <v>74</v>
      </c>
      <c r="BB741">
        <v>567</v>
      </c>
      <c r="BC741">
        <v>577</v>
      </c>
      <c r="BD741" t="s">
        <v>74</v>
      </c>
      <c r="BE741" t="s">
        <v>10729</v>
      </c>
      <c r="BF741" t="str">
        <f>HYPERLINK("http://dx.doi.org/10.1016/j.molstruc.2003.10.001","http://dx.doi.org/10.1016/j.molstruc.2003.10.001")</f>
        <v>http://dx.doi.org/10.1016/j.molstruc.2003.10.001</v>
      </c>
      <c r="BG741" t="s">
        <v>74</v>
      </c>
      <c r="BH741" t="s">
        <v>74</v>
      </c>
      <c r="BI741">
        <v>11</v>
      </c>
      <c r="BJ741" t="s">
        <v>10730</v>
      </c>
      <c r="BK741" t="s">
        <v>96</v>
      </c>
      <c r="BL741" t="s">
        <v>2113</v>
      </c>
      <c r="BM741" t="s">
        <v>10731</v>
      </c>
      <c r="BN741" t="s">
        <v>74</v>
      </c>
      <c r="BO741" t="s">
        <v>74</v>
      </c>
      <c r="BP741" t="s">
        <v>74</v>
      </c>
      <c r="BQ741" t="s">
        <v>74</v>
      </c>
      <c r="BR741" t="s">
        <v>99</v>
      </c>
      <c r="BS741" t="s">
        <v>10732</v>
      </c>
      <c r="BT741" t="str">
        <f>HYPERLINK("https%3A%2F%2Fwww.webofscience.com%2Fwos%2Fwoscc%2Ffull-record%2FWOS:000187239400057","View Full Record in Web of Science")</f>
        <v>View Full Record in Web of Science</v>
      </c>
    </row>
    <row r="742" spans="1:72" x14ac:dyDescent="0.15">
      <c r="A742" t="s">
        <v>72</v>
      </c>
      <c r="B742" t="s">
        <v>10733</v>
      </c>
      <c r="C742" t="s">
        <v>74</v>
      </c>
      <c r="D742" t="s">
        <v>74</v>
      </c>
      <c r="E742" t="s">
        <v>74</v>
      </c>
      <c r="F742" t="s">
        <v>10733</v>
      </c>
      <c r="G742" t="s">
        <v>74</v>
      </c>
      <c r="H742" t="s">
        <v>74</v>
      </c>
      <c r="I742" t="s">
        <v>10734</v>
      </c>
      <c r="J742" t="s">
        <v>10735</v>
      </c>
      <c r="K742" t="s">
        <v>74</v>
      </c>
      <c r="L742" t="s">
        <v>74</v>
      </c>
      <c r="M742" t="s">
        <v>77</v>
      </c>
      <c r="N742" t="s">
        <v>78</v>
      </c>
      <c r="O742" t="s">
        <v>74</v>
      </c>
      <c r="P742" t="s">
        <v>74</v>
      </c>
      <c r="Q742" t="s">
        <v>74</v>
      </c>
      <c r="R742" t="s">
        <v>74</v>
      </c>
      <c r="S742" t="s">
        <v>74</v>
      </c>
      <c r="T742" t="s">
        <v>10736</v>
      </c>
      <c r="U742" t="s">
        <v>10737</v>
      </c>
      <c r="V742" t="s">
        <v>10738</v>
      </c>
      <c r="W742" t="s">
        <v>10739</v>
      </c>
      <c r="X742" t="s">
        <v>10740</v>
      </c>
      <c r="Y742" t="s">
        <v>10741</v>
      </c>
      <c r="Z742" t="s">
        <v>10742</v>
      </c>
      <c r="AA742" t="s">
        <v>74</v>
      </c>
      <c r="AB742" t="s">
        <v>10743</v>
      </c>
      <c r="AC742" t="s">
        <v>74</v>
      </c>
      <c r="AD742" t="s">
        <v>74</v>
      </c>
      <c r="AE742" t="s">
        <v>74</v>
      </c>
      <c r="AF742" t="s">
        <v>74</v>
      </c>
      <c r="AG742">
        <v>52</v>
      </c>
      <c r="AH742">
        <v>124</v>
      </c>
      <c r="AI742">
        <v>129</v>
      </c>
      <c r="AJ742">
        <v>0</v>
      </c>
      <c r="AK742">
        <v>5</v>
      </c>
      <c r="AL742" t="s">
        <v>363</v>
      </c>
      <c r="AM742" t="s">
        <v>364</v>
      </c>
      <c r="AN742" t="s">
        <v>365</v>
      </c>
      <c r="AO742" t="s">
        <v>10744</v>
      </c>
      <c r="AP742" t="s">
        <v>10745</v>
      </c>
      <c r="AQ742" t="s">
        <v>74</v>
      </c>
      <c r="AR742" t="s">
        <v>10735</v>
      </c>
      <c r="AS742" t="s">
        <v>10746</v>
      </c>
      <c r="AT742" t="s">
        <v>10728</v>
      </c>
      <c r="AU742">
        <v>2003</v>
      </c>
      <c r="AV742">
        <v>22</v>
      </c>
      <c r="AW742">
        <v>6</v>
      </c>
      <c r="AX742" t="s">
        <v>74</v>
      </c>
      <c r="AY742" t="s">
        <v>74</v>
      </c>
      <c r="AZ742" t="s">
        <v>74</v>
      </c>
      <c r="BA742" t="s">
        <v>74</v>
      </c>
      <c r="BB742" t="s">
        <v>74</v>
      </c>
      <c r="BC742" t="s">
        <v>74</v>
      </c>
      <c r="BD742">
        <v>1076</v>
      </c>
      <c r="BE742" t="s">
        <v>10747</v>
      </c>
      <c r="BF742" t="str">
        <f>HYPERLINK("http://dx.doi.org/10.1029/2003TC001500","http://dx.doi.org/10.1029/2003TC001500")</f>
        <v>http://dx.doi.org/10.1029/2003TC001500</v>
      </c>
      <c r="BG742" t="s">
        <v>74</v>
      </c>
      <c r="BH742" t="s">
        <v>74</v>
      </c>
      <c r="BI742">
        <v>28</v>
      </c>
      <c r="BJ742" t="s">
        <v>262</v>
      </c>
      <c r="BK742" t="s">
        <v>96</v>
      </c>
      <c r="BL742" t="s">
        <v>262</v>
      </c>
      <c r="BM742" t="s">
        <v>10748</v>
      </c>
      <c r="BN742" t="s">
        <v>74</v>
      </c>
      <c r="BO742" t="s">
        <v>541</v>
      </c>
      <c r="BP742" t="s">
        <v>74</v>
      </c>
      <c r="BQ742" t="s">
        <v>74</v>
      </c>
      <c r="BR742" t="s">
        <v>99</v>
      </c>
      <c r="BS742" t="s">
        <v>10749</v>
      </c>
      <c r="BT742" t="str">
        <f>HYPERLINK("https%3A%2F%2Fwww.webofscience.com%2Fwos%2Fwoscc%2Ffull-record%2FWOS:000187860300002","View Full Record in Web of Science")</f>
        <v>View Full Record in Web of Science</v>
      </c>
    </row>
    <row r="743" spans="1:72" x14ac:dyDescent="0.15">
      <c r="A743" t="s">
        <v>72</v>
      </c>
      <c r="B743" t="s">
        <v>10750</v>
      </c>
      <c r="C743" t="s">
        <v>74</v>
      </c>
      <c r="D743" t="s">
        <v>74</v>
      </c>
      <c r="E743" t="s">
        <v>74</v>
      </c>
      <c r="F743" t="s">
        <v>10750</v>
      </c>
      <c r="G743" t="s">
        <v>74</v>
      </c>
      <c r="H743" t="s">
        <v>74</v>
      </c>
      <c r="I743" t="s">
        <v>10751</v>
      </c>
      <c r="J743" t="s">
        <v>2376</v>
      </c>
      <c r="K743" t="s">
        <v>74</v>
      </c>
      <c r="L743" t="s">
        <v>74</v>
      </c>
      <c r="M743" t="s">
        <v>77</v>
      </c>
      <c r="N743" t="s">
        <v>78</v>
      </c>
      <c r="O743" t="s">
        <v>74</v>
      </c>
      <c r="P743" t="s">
        <v>74</v>
      </c>
      <c r="Q743" t="s">
        <v>74</v>
      </c>
      <c r="R743" t="s">
        <v>74</v>
      </c>
      <c r="S743" t="s">
        <v>74</v>
      </c>
      <c r="T743" t="s">
        <v>10752</v>
      </c>
      <c r="U743" t="s">
        <v>10753</v>
      </c>
      <c r="V743" t="s">
        <v>10754</v>
      </c>
      <c r="W743" t="s">
        <v>10755</v>
      </c>
      <c r="X743" t="s">
        <v>10756</v>
      </c>
      <c r="Y743" t="s">
        <v>10757</v>
      </c>
      <c r="Z743" t="s">
        <v>74</v>
      </c>
      <c r="AA743" t="s">
        <v>74</v>
      </c>
      <c r="AB743" t="s">
        <v>10758</v>
      </c>
      <c r="AC743" t="s">
        <v>74</v>
      </c>
      <c r="AD743" t="s">
        <v>74</v>
      </c>
      <c r="AE743" t="s">
        <v>74</v>
      </c>
      <c r="AF743" t="s">
        <v>74</v>
      </c>
      <c r="AG743">
        <v>25</v>
      </c>
      <c r="AH743">
        <v>12</v>
      </c>
      <c r="AI743">
        <v>14</v>
      </c>
      <c r="AJ743">
        <v>1</v>
      </c>
      <c r="AK743">
        <v>8</v>
      </c>
      <c r="AL743" t="s">
        <v>2386</v>
      </c>
      <c r="AM743" t="s">
        <v>2387</v>
      </c>
      <c r="AN743" t="s">
        <v>2388</v>
      </c>
      <c r="AO743" t="s">
        <v>2389</v>
      </c>
      <c r="AP743" t="s">
        <v>74</v>
      </c>
      <c r="AQ743" t="s">
        <v>74</v>
      </c>
      <c r="AR743" t="s">
        <v>2390</v>
      </c>
      <c r="AS743" t="s">
        <v>2391</v>
      </c>
      <c r="AT743" t="s">
        <v>10759</v>
      </c>
      <c r="AU743">
        <v>2003</v>
      </c>
      <c r="AV743">
        <v>17</v>
      </c>
      <c r="AW743">
        <v>17</v>
      </c>
      <c r="AX743" t="s">
        <v>74</v>
      </c>
      <c r="AY743" t="s">
        <v>74</v>
      </c>
      <c r="AZ743" t="s">
        <v>74</v>
      </c>
      <c r="BA743" t="s">
        <v>74</v>
      </c>
      <c r="BB743">
        <v>3503</v>
      </c>
      <c r="BC743">
        <v>3517</v>
      </c>
      <c r="BD743" t="s">
        <v>74</v>
      </c>
      <c r="BE743" t="s">
        <v>10760</v>
      </c>
      <c r="BF743" t="str">
        <f>HYPERLINK("http://dx.doi.org/10.1002/hyp.1305","http://dx.doi.org/10.1002/hyp.1305")</f>
        <v>http://dx.doi.org/10.1002/hyp.1305</v>
      </c>
      <c r="BG743" t="s">
        <v>74</v>
      </c>
      <c r="BH743" t="s">
        <v>74</v>
      </c>
      <c r="BI743">
        <v>15</v>
      </c>
      <c r="BJ743" t="s">
        <v>2393</v>
      </c>
      <c r="BK743" t="s">
        <v>96</v>
      </c>
      <c r="BL743" t="s">
        <v>2393</v>
      </c>
      <c r="BM743" t="s">
        <v>10761</v>
      </c>
      <c r="BN743" t="s">
        <v>74</v>
      </c>
      <c r="BO743" t="s">
        <v>74</v>
      </c>
      <c r="BP743" t="s">
        <v>74</v>
      </c>
      <c r="BQ743" t="s">
        <v>74</v>
      </c>
      <c r="BR743" t="s">
        <v>99</v>
      </c>
      <c r="BS743" t="s">
        <v>10762</v>
      </c>
      <c r="BT743" t="str">
        <f>HYPERLINK("https%3A%2F%2Fwww.webofscience.com%2Fwos%2Fwoscc%2Ffull-record%2FWOS:000187201000007","View Full Record in Web of Science")</f>
        <v>View Full Record in Web of Science</v>
      </c>
    </row>
    <row r="744" spans="1:72" x14ac:dyDescent="0.15">
      <c r="A744" t="s">
        <v>72</v>
      </c>
      <c r="B744" t="s">
        <v>10763</v>
      </c>
      <c r="C744" t="s">
        <v>74</v>
      </c>
      <c r="D744" t="s">
        <v>74</v>
      </c>
      <c r="E744" t="s">
        <v>74</v>
      </c>
      <c r="F744" t="s">
        <v>10763</v>
      </c>
      <c r="G744" t="s">
        <v>74</v>
      </c>
      <c r="H744" t="s">
        <v>74</v>
      </c>
      <c r="I744" t="s">
        <v>10764</v>
      </c>
      <c r="J744" t="s">
        <v>460</v>
      </c>
      <c r="K744" t="s">
        <v>74</v>
      </c>
      <c r="L744" t="s">
        <v>74</v>
      </c>
      <c r="M744" t="s">
        <v>77</v>
      </c>
      <c r="N744" t="s">
        <v>78</v>
      </c>
      <c r="O744" t="s">
        <v>74</v>
      </c>
      <c r="P744" t="s">
        <v>74</v>
      </c>
      <c r="Q744" t="s">
        <v>74</v>
      </c>
      <c r="R744" t="s">
        <v>74</v>
      </c>
      <c r="S744" t="s">
        <v>74</v>
      </c>
      <c r="T744" t="s">
        <v>10765</v>
      </c>
      <c r="U744" t="s">
        <v>10766</v>
      </c>
      <c r="V744" t="s">
        <v>10767</v>
      </c>
      <c r="W744" t="s">
        <v>10768</v>
      </c>
      <c r="X744" t="s">
        <v>10769</v>
      </c>
      <c r="Y744" t="s">
        <v>74</v>
      </c>
      <c r="Z744" t="s">
        <v>10770</v>
      </c>
      <c r="AA744" t="s">
        <v>10771</v>
      </c>
      <c r="AB744" t="s">
        <v>10772</v>
      </c>
      <c r="AC744" t="s">
        <v>74</v>
      </c>
      <c r="AD744" t="s">
        <v>74</v>
      </c>
      <c r="AE744" t="s">
        <v>74</v>
      </c>
      <c r="AF744" t="s">
        <v>74</v>
      </c>
      <c r="AG744">
        <v>68</v>
      </c>
      <c r="AH744">
        <v>38</v>
      </c>
      <c r="AI744">
        <v>42</v>
      </c>
      <c r="AJ744">
        <v>0</v>
      </c>
      <c r="AK744">
        <v>19</v>
      </c>
      <c r="AL744" t="s">
        <v>363</v>
      </c>
      <c r="AM744" t="s">
        <v>364</v>
      </c>
      <c r="AN744" t="s">
        <v>365</v>
      </c>
      <c r="AO744" t="s">
        <v>470</v>
      </c>
      <c r="AP744" t="s">
        <v>471</v>
      </c>
      <c r="AQ744" t="s">
        <v>74</v>
      </c>
      <c r="AR744" t="s">
        <v>472</v>
      </c>
      <c r="AS744" t="s">
        <v>473</v>
      </c>
      <c r="AT744" t="s">
        <v>10773</v>
      </c>
      <c r="AU744">
        <v>2003</v>
      </c>
      <c r="AV744">
        <v>108</v>
      </c>
      <c r="AW744" t="s">
        <v>10774</v>
      </c>
      <c r="AX744" t="s">
        <v>74</v>
      </c>
      <c r="AY744" t="s">
        <v>74</v>
      </c>
      <c r="AZ744" t="s">
        <v>74</v>
      </c>
      <c r="BA744" t="s">
        <v>74</v>
      </c>
      <c r="BB744" t="s">
        <v>74</v>
      </c>
      <c r="BC744" t="s">
        <v>74</v>
      </c>
      <c r="BD744">
        <v>3375</v>
      </c>
      <c r="BE744" t="s">
        <v>10775</v>
      </c>
      <c r="BF744" t="str">
        <f>HYPERLINK("http://dx.doi.org/10.1029/2001JC000920","http://dx.doi.org/10.1029/2001JC000920")</f>
        <v>http://dx.doi.org/10.1029/2001JC000920</v>
      </c>
      <c r="BG744" t="s">
        <v>74</v>
      </c>
      <c r="BH744" t="s">
        <v>74</v>
      </c>
      <c r="BI744">
        <v>17</v>
      </c>
      <c r="BJ744" t="s">
        <v>477</v>
      </c>
      <c r="BK744" t="s">
        <v>96</v>
      </c>
      <c r="BL744" t="s">
        <v>477</v>
      </c>
      <c r="BM744" t="s">
        <v>10776</v>
      </c>
      <c r="BN744" t="s">
        <v>74</v>
      </c>
      <c r="BO744" t="s">
        <v>74</v>
      </c>
      <c r="BP744" t="s">
        <v>74</v>
      </c>
      <c r="BQ744" t="s">
        <v>74</v>
      </c>
      <c r="BR744" t="s">
        <v>99</v>
      </c>
      <c r="BS744" t="s">
        <v>10777</v>
      </c>
      <c r="BT744" t="str">
        <f>HYPERLINK("https%3A%2F%2Fwww.webofscience.com%2Fwos%2Fwoscc%2Ffull-record%2FWOS:000187492700001","View Full Record in Web of Science")</f>
        <v>View Full Record in Web of Science</v>
      </c>
    </row>
    <row r="745" spans="1:72" x14ac:dyDescent="0.15">
      <c r="A745" t="s">
        <v>72</v>
      </c>
      <c r="B745" t="s">
        <v>10778</v>
      </c>
      <c r="C745" t="s">
        <v>74</v>
      </c>
      <c r="D745" t="s">
        <v>74</v>
      </c>
      <c r="E745" t="s">
        <v>74</v>
      </c>
      <c r="F745" t="s">
        <v>10778</v>
      </c>
      <c r="G745" t="s">
        <v>74</v>
      </c>
      <c r="H745" t="s">
        <v>74</v>
      </c>
      <c r="I745" t="s">
        <v>10779</v>
      </c>
      <c r="J745" t="s">
        <v>419</v>
      </c>
      <c r="K745" t="s">
        <v>74</v>
      </c>
      <c r="L745" t="s">
        <v>74</v>
      </c>
      <c r="M745" t="s">
        <v>77</v>
      </c>
      <c r="N745" t="s">
        <v>78</v>
      </c>
      <c r="O745" t="s">
        <v>74</v>
      </c>
      <c r="P745" t="s">
        <v>74</v>
      </c>
      <c r="Q745" t="s">
        <v>74</v>
      </c>
      <c r="R745" t="s">
        <v>74</v>
      </c>
      <c r="S745" t="s">
        <v>74</v>
      </c>
      <c r="T745" t="s">
        <v>10780</v>
      </c>
      <c r="U745" t="s">
        <v>10781</v>
      </c>
      <c r="V745" t="s">
        <v>10782</v>
      </c>
      <c r="W745" t="s">
        <v>10783</v>
      </c>
      <c r="X745" t="s">
        <v>10784</v>
      </c>
      <c r="Y745" t="s">
        <v>10785</v>
      </c>
      <c r="Z745" t="s">
        <v>10786</v>
      </c>
      <c r="AA745" t="s">
        <v>74</v>
      </c>
      <c r="AB745" t="s">
        <v>74</v>
      </c>
      <c r="AC745" t="s">
        <v>74</v>
      </c>
      <c r="AD745" t="s">
        <v>74</v>
      </c>
      <c r="AE745" t="s">
        <v>74</v>
      </c>
      <c r="AF745" t="s">
        <v>74</v>
      </c>
      <c r="AG745">
        <v>37</v>
      </c>
      <c r="AH745">
        <v>34</v>
      </c>
      <c r="AI745">
        <v>35</v>
      </c>
      <c r="AJ745">
        <v>1</v>
      </c>
      <c r="AK745">
        <v>7</v>
      </c>
      <c r="AL745" t="s">
        <v>363</v>
      </c>
      <c r="AM745" t="s">
        <v>364</v>
      </c>
      <c r="AN745" t="s">
        <v>365</v>
      </c>
      <c r="AO745" t="s">
        <v>429</v>
      </c>
      <c r="AP745" t="s">
        <v>430</v>
      </c>
      <c r="AQ745" t="s">
        <v>74</v>
      </c>
      <c r="AR745" t="s">
        <v>431</v>
      </c>
      <c r="AS745" t="s">
        <v>432</v>
      </c>
      <c r="AT745" t="s">
        <v>10787</v>
      </c>
      <c r="AU745">
        <v>2003</v>
      </c>
      <c r="AV745">
        <v>108</v>
      </c>
      <c r="AW745" t="s">
        <v>10788</v>
      </c>
      <c r="AX745" t="s">
        <v>74</v>
      </c>
      <c r="AY745" t="s">
        <v>74</v>
      </c>
      <c r="AZ745" t="s">
        <v>74</v>
      </c>
      <c r="BA745" t="s">
        <v>74</v>
      </c>
      <c r="BB745" t="s">
        <v>74</v>
      </c>
      <c r="BC745" t="s">
        <v>74</v>
      </c>
      <c r="BD745">
        <v>4738</v>
      </c>
      <c r="BE745" t="s">
        <v>10789</v>
      </c>
      <c r="BF745" t="str">
        <f>HYPERLINK("http://dx.doi.org/10.1029/2003JD003859","http://dx.doi.org/10.1029/2003JD003859")</f>
        <v>http://dx.doi.org/10.1029/2003JD003859</v>
      </c>
      <c r="BG745" t="s">
        <v>74</v>
      </c>
      <c r="BH745" t="s">
        <v>74</v>
      </c>
      <c r="BI745">
        <v>15</v>
      </c>
      <c r="BJ745" t="s">
        <v>186</v>
      </c>
      <c r="BK745" t="s">
        <v>96</v>
      </c>
      <c r="BL745" t="s">
        <v>186</v>
      </c>
      <c r="BM745" t="s">
        <v>10790</v>
      </c>
      <c r="BN745" t="s">
        <v>74</v>
      </c>
      <c r="BO745" t="s">
        <v>541</v>
      </c>
      <c r="BP745" t="s">
        <v>74</v>
      </c>
      <c r="BQ745" t="s">
        <v>74</v>
      </c>
      <c r="BR745" t="s">
        <v>99</v>
      </c>
      <c r="BS745" t="s">
        <v>10791</v>
      </c>
      <c r="BT745" t="str">
        <f>HYPERLINK("https%3A%2F%2Fwww.webofscience.com%2Fwos%2Fwoscc%2Ffull-record%2FWOS:000187492000004","View Full Record in Web of Science")</f>
        <v>View Full Record in Web of Science</v>
      </c>
    </row>
    <row r="746" spans="1:72" x14ac:dyDescent="0.15">
      <c r="A746" t="s">
        <v>72</v>
      </c>
      <c r="B746" t="s">
        <v>10792</v>
      </c>
      <c r="C746" t="s">
        <v>74</v>
      </c>
      <c r="D746" t="s">
        <v>74</v>
      </c>
      <c r="E746" t="s">
        <v>74</v>
      </c>
      <c r="F746" t="s">
        <v>10792</v>
      </c>
      <c r="G746" t="s">
        <v>74</v>
      </c>
      <c r="H746" t="s">
        <v>74</v>
      </c>
      <c r="I746" t="s">
        <v>10793</v>
      </c>
      <c r="J746" t="s">
        <v>10794</v>
      </c>
      <c r="K746" t="s">
        <v>74</v>
      </c>
      <c r="L746" t="s">
        <v>74</v>
      </c>
      <c r="M746" t="s">
        <v>77</v>
      </c>
      <c r="N746" t="s">
        <v>78</v>
      </c>
      <c r="O746" t="s">
        <v>74</v>
      </c>
      <c r="P746" t="s">
        <v>74</v>
      </c>
      <c r="Q746" t="s">
        <v>74</v>
      </c>
      <c r="R746" t="s">
        <v>74</v>
      </c>
      <c r="S746" t="s">
        <v>74</v>
      </c>
      <c r="T746" t="s">
        <v>10795</v>
      </c>
      <c r="U746" t="s">
        <v>10796</v>
      </c>
      <c r="V746" t="s">
        <v>10797</v>
      </c>
      <c r="W746" t="s">
        <v>10798</v>
      </c>
      <c r="X746" t="s">
        <v>10799</v>
      </c>
      <c r="Y746" t="s">
        <v>10800</v>
      </c>
      <c r="Z746" t="s">
        <v>10801</v>
      </c>
      <c r="AA746" t="s">
        <v>10802</v>
      </c>
      <c r="AB746" t="s">
        <v>10803</v>
      </c>
      <c r="AC746" t="s">
        <v>74</v>
      </c>
      <c r="AD746" t="s">
        <v>74</v>
      </c>
      <c r="AE746" t="s">
        <v>74</v>
      </c>
      <c r="AF746" t="s">
        <v>74</v>
      </c>
      <c r="AG746">
        <v>94</v>
      </c>
      <c r="AH746">
        <v>20</v>
      </c>
      <c r="AI746">
        <v>20</v>
      </c>
      <c r="AJ746">
        <v>0</v>
      </c>
      <c r="AK746">
        <v>8</v>
      </c>
      <c r="AL746" t="s">
        <v>363</v>
      </c>
      <c r="AM746" t="s">
        <v>364</v>
      </c>
      <c r="AN746" t="s">
        <v>365</v>
      </c>
      <c r="AO746" t="s">
        <v>10804</v>
      </c>
      <c r="AP746" t="s">
        <v>10805</v>
      </c>
      <c r="AQ746" t="s">
        <v>74</v>
      </c>
      <c r="AR746" t="s">
        <v>10806</v>
      </c>
      <c r="AS746" t="s">
        <v>10807</v>
      </c>
      <c r="AT746" t="s">
        <v>10787</v>
      </c>
      <c r="AU746">
        <v>2003</v>
      </c>
      <c r="AV746">
        <v>108</v>
      </c>
      <c r="AW746" t="s">
        <v>10808</v>
      </c>
      <c r="AX746" t="s">
        <v>74</v>
      </c>
      <c r="AY746" t="s">
        <v>74</v>
      </c>
      <c r="AZ746" t="s">
        <v>74</v>
      </c>
      <c r="BA746" t="s">
        <v>74</v>
      </c>
      <c r="BB746" t="s">
        <v>74</v>
      </c>
      <c r="BC746" t="s">
        <v>74</v>
      </c>
      <c r="BD746">
        <v>2560</v>
      </c>
      <c r="BE746" t="s">
        <v>10809</v>
      </c>
      <c r="BF746" t="str">
        <f>HYPERLINK("http://dx.doi.org/10.1029/2002JB002182","http://dx.doi.org/10.1029/2002JB002182")</f>
        <v>http://dx.doi.org/10.1029/2002JB002182</v>
      </c>
      <c r="BG746" t="s">
        <v>74</v>
      </c>
      <c r="BH746" t="s">
        <v>74</v>
      </c>
      <c r="BI746">
        <v>21</v>
      </c>
      <c r="BJ746" t="s">
        <v>262</v>
      </c>
      <c r="BK746" t="s">
        <v>96</v>
      </c>
      <c r="BL746" t="s">
        <v>262</v>
      </c>
      <c r="BM746" t="s">
        <v>10810</v>
      </c>
      <c r="BN746" t="s">
        <v>74</v>
      </c>
      <c r="BO746" t="s">
        <v>541</v>
      </c>
      <c r="BP746" t="s">
        <v>74</v>
      </c>
      <c r="BQ746" t="s">
        <v>74</v>
      </c>
      <c r="BR746" t="s">
        <v>99</v>
      </c>
      <c r="BS746" t="s">
        <v>10811</v>
      </c>
      <c r="BT746" t="str">
        <f>HYPERLINK("https%3A%2F%2Fwww.webofscience.com%2Fwos%2Fwoscc%2Ffull-record%2FWOS:000187494000002","View Full Record in Web of Science")</f>
        <v>View Full Record in Web of Science</v>
      </c>
    </row>
    <row r="747" spans="1:72" x14ac:dyDescent="0.15">
      <c r="A747" t="s">
        <v>72</v>
      </c>
      <c r="B747" t="s">
        <v>10812</v>
      </c>
      <c r="C747" t="s">
        <v>74</v>
      </c>
      <c r="D747" t="s">
        <v>74</v>
      </c>
      <c r="E747" t="s">
        <v>74</v>
      </c>
      <c r="F747" t="s">
        <v>10812</v>
      </c>
      <c r="G747" t="s">
        <v>74</v>
      </c>
      <c r="H747" t="s">
        <v>74</v>
      </c>
      <c r="I747" t="s">
        <v>10813</v>
      </c>
      <c r="J747" t="s">
        <v>10794</v>
      </c>
      <c r="K747" t="s">
        <v>74</v>
      </c>
      <c r="L747" t="s">
        <v>74</v>
      </c>
      <c r="M747" t="s">
        <v>77</v>
      </c>
      <c r="N747" t="s">
        <v>78</v>
      </c>
      <c r="O747" t="s">
        <v>74</v>
      </c>
      <c r="P747" t="s">
        <v>74</v>
      </c>
      <c r="Q747" t="s">
        <v>74</v>
      </c>
      <c r="R747" t="s">
        <v>74</v>
      </c>
      <c r="S747" t="s">
        <v>74</v>
      </c>
      <c r="T747" t="s">
        <v>10814</v>
      </c>
      <c r="U747" t="s">
        <v>10815</v>
      </c>
      <c r="V747" t="s">
        <v>10816</v>
      </c>
      <c r="W747" t="s">
        <v>10817</v>
      </c>
      <c r="X747" t="s">
        <v>4766</v>
      </c>
      <c r="Y747" t="s">
        <v>10818</v>
      </c>
      <c r="Z747" t="s">
        <v>10819</v>
      </c>
      <c r="AA747" t="s">
        <v>10820</v>
      </c>
      <c r="AB747" t="s">
        <v>10821</v>
      </c>
      <c r="AC747" t="s">
        <v>74</v>
      </c>
      <c r="AD747" t="s">
        <v>74</v>
      </c>
      <c r="AE747" t="s">
        <v>74</v>
      </c>
      <c r="AF747" t="s">
        <v>74</v>
      </c>
      <c r="AG747">
        <v>50</v>
      </c>
      <c r="AH747">
        <v>25</v>
      </c>
      <c r="AI747">
        <v>27</v>
      </c>
      <c r="AJ747">
        <v>0</v>
      </c>
      <c r="AK747">
        <v>6</v>
      </c>
      <c r="AL747" t="s">
        <v>363</v>
      </c>
      <c r="AM747" t="s">
        <v>364</v>
      </c>
      <c r="AN747" t="s">
        <v>365</v>
      </c>
      <c r="AO747" t="s">
        <v>10804</v>
      </c>
      <c r="AP747" t="s">
        <v>10805</v>
      </c>
      <c r="AQ747" t="s">
        <v>74</v>
      </c>
      <c r="AR747" t="s">
        <v>10806</v>
      </c>
      <c r="AS747" t="s">
        <v>10807</v>
      </c>
      <c r="AT747" t="s">
        <v>10787</v>
      </c>
      <c r="AU747">
        <v>2003</v>
      </c>
      <c r="AV747">
        <v>108</v>
      </c>
      <c r="AW747" t="s">
        <v>10808</v>
      </c>
      <c r="AX747" t="s">
        <v>74</v>
      </c>
      <c r="AY747" t="s">
        <v>74</v>
      </c>
      <c r="AZ747" t="s">
        <v>74</v>
      </c>
      <c r="BA747" t="s">
        <v>74</v>
      </c>
      <c r="BB747" t="s">
        <v>74</v>
      </c>
      <c r="BC747" t="s">
        <v>74</v>
      </c>
      <c r="BD747">
        <v>2559</v>
      </c>
      <c r="BE747" t="s">
        <v>10822</v>
      </c>
      <c r="BF747" t="str">
        <f>HYPERLINK("http://dx.doi.org/10.1029/2003JB002522","http://dx.doi.org/10.1029/2003JB002522")</f>
        <v>http://dx.doi.org/10.1029/2003JB002522</v>
      </c>
      <c r="BG747" t="s">
        <v>74</v>
      </c>
      <c r="BH747" t="s">
        <v>74</v>
      </c>
      <c r="BI747">
        <v>16</v>
      </c>
      <c r="BJ747" t="s">
        <v>262</v>
      </c>
      <c r="BK747" t="s">
        <v>96</v>
      </c>
      <c r="BL747" t="s">
        <v>262</v>
      </c>
      <c r="BM747" t="s">
        <v>10810</v>
      </c>
      <c r="BN747" t="s">
        <v>74</v>
      </c>
      <c r="BO747" t="s">
        <v>516</v>
      </c>
      <c r="BP747" t="s">
        <v>74</v>
      </c>
      <c r="BQ747" t="s">
        <v>74</v>
      </c>
      <c r="BR747" t="s">
        <v>99</v>
      </c>
      <c r="BS747" t="s">
        <v>10823</v>
      </c>
      <c r="BT747" t="str">
        <f>HYPERLINK("https%3A%2F%2Fwww.webofscience.com%2Fwos%2Fwoscc%2Ffull-record%2FWOS:000187494000003","View Full Record in Web of Science")</f>
        <v>View Full Record in Web of Science</v>
      </c>
    </row>
    <row r="748" spans="1:72" x14ac:dyDescent="0.15">
      <c r="A748" t="s">
        <v>72</v>
      </c>
      <c r="B748" t="s">
        <v>10824</v>
      </c>
      <c r="C748" t="s">
        <v>74</v>
      </c>
      <c r="D748" t="s">
        <v>74</v>
      </c>
      <c r="E748" t="s">
        <v>74</v>
      </c>
      <c r="F748" t="s">
        <v>10824</v>
      </c>
      <c r="G748" t="s">
        <v>74</v>
      </c>
      <c r="H748" t="s">
        <v>74</v>
      </c>
      <c r="I748" t="s">
        <v>10825</v>
      </c>
      <c r="J748" t="s">
        <v>3916</v>
      </c>
      <c r="K748" t="s">
        <v>74</v>
      </c>
      <c r="L748" t="s">
        <v>74</v>
      </c>
      <c r="M748" t="s">
        <v>77</v>
      </c>
      <c r="N748" t="s">
        <v>78</v>
      </c>
      <c r="O748" t="s">
        <v>74</v>
      </c>
      <c r="P748" t="s">
        <v>74</v>
      </c>
      <c r="Q748" t="s">
        <v>74</v>
      </c>
      <c r="R748" t="s">
        <v>74</v>
      </c>
      <c r="S748" t="s">
        <v>74</v>
      </c>
      <c r="T748" t="s">
        <v>74</v>
      </c>
      <c r="U748" t="s">
        <v>10826</v>
      </c>
      <c r="V748" t="s">
        <v>10827</v>
      </c>
      <c r="W748" t="s">
        <v>10828</v>
      </c>
      <c r="X748" t="s">
        <v>2213</v>
      </c>
      <c r="Y748" t="s">
        <v>10829</v>
      </c>
      <c r="Z748" t="s">
        <v>74</v>
      </c>
      <c r="AA748" t="s">
        <v>10830</v>
      </c>
      <c r="AB748" t="s">
        <v>10831</v>
      </c>
      <c r="AC748" t="s">
        <v>74</v>
      </c>
      <c r="AD748" t="s">
        <v>74</v>
      </c>
      <c r="AE748" t="s">
        <v>74</v>
      </c>
      <c r="AF748" t="s">
        <v>74</v>
      </c>
      <c r="AG748">
        <v>28</v>
      </c>
      <c r="AH748">
        <v>150</v>
      </c>
      <c r="AI748">
        <v>162</v>
      </c>
      <c r="AJ748">
        <v>0</v>
      </c>
      <c r="AK748">
        <v>32</v>
      </c>
      <c r="AL748" t="s">
        <v>3925</v>
      </c>
      <c r="AM748" t="s">
        <v>364</v>
      </c>
      <c r="AN748" t="s">
        <v>3926</v>
      </c>
      <c r="AO748" t="s">
        <v>3927</v>
      </c>
      <c r="AP748" t="s">
        <v>74</v>
      </c>
      <c r="AQ748" t="s">
        <v>74</v>
      </c>
      <c r="AR748" t="s">
        <v>3916</v>
      </c>
      <c r="AS748" t="s">
        <v>3929</v>
      </c>
      <c r="AT748" t="s">
        <v>10787</v>
      </c>
      <c r="AU748">
        <v>2003</v>
      </c>
      <c r="AV748">
        <v>302</v>
      </c>
      <c r="AW748">
        <v>5652</v>
      </c>
      <c r="AX748" t="s">
        <v>74</v>
      </c>
      <c r="AY748" t="s">
        <v>74</v>
      </c>
      <c r="AZ748" t="s">
        <v>74</v>
      </c>
      <c r="BA748" t="s">
        <v>74</v>
      </c>
      <c r="BB748">
        <v>1952</v>
      </c>
      <c r="BC748">
        <v>1955</v>
      </c>
      <c r="BD748" t="s">
        <v>74</v>
      </c>
      <c r="BE748" t="s">
        <v>10832</v>
      </c>
      <c r="BF748" t="str">
        <f>HYPERLINK("http://dx.doi.org/10.1126/science.1088692","http://dx.doi.org/10.1126/science.1088692")</f>
        <v>http://dx.doi.org/10.1126/science.1088692</v>
      </c>
      <c r="BG748" t="s">
        <v>74</v>
      </c>
      <c r="BH748" t="s">
        <v>74</v>
      </c>
      <c r="BI748">
        <v>4</v>
      </c>
      <c r="BJ748" t="s">
        <v>454</v>
      </c>
      <c r="BK748" t="s">
        <v>96</v>
      </c>
      <c r="BL748" t="s">
        <v>455</v>
      </c>
      <c r="BM748" t="s">
        <v>10833</v>
      </c>
      <c r="BN748">
        <v>14671300</v>
      </c>
      <c r="BO748" t="s">
        <v>74</v>
      </c>
      <c r="BP748" t="s">
        <v>74</v>
      </c>
      <c r="BQ748" t="s">
        <v>74</v>
      </c>
      <c r="BR748" t="s">
        <v>99</v>
      </c>
      <c r="BS748" t="s">
        <v>10834</v>
      </c>
      <c r="BT748" t="str">
        <f>HYPERLINK("https%3A%2F%2Fwww.webofscience.com%2Fwos%2Fwoscc%2Ffull-record%2FWOS:000187174000057","View Full Record in Web of Science")</f>
        <v>View Full Record in Web of Science</v>
      </c>
    </row>
    <row r="749" spans="1:72" x14ac:dyDescent="0.15">
      <c r="A749" t="s">
        <v>72</v>
      </c>
      <c r="B749" t="s">
        <v>10835</v>
      </c>
      <c r="C749" t="s">
        <v>74</v>
      </c>
      <c r="D749" t="s">
        <v>74</v>
      </c>
      <c r="E749" t="s">
        <v>74</v>
      </c>
      <c r="F749" t="s">
        <v>10835</v>
      </c>
      <c r="G749" t="s">
        <v>74</v>
      </c>
      <c r="H749" t="s">
        <v>74</v>
      </c>
      <c r="I749" t="s">
        <v>10836</v>
      </c>
      <c r="J749" t="s">
        <v>2128</v>
      </c>
      <c r="K749" t="s">
        <v>74</v>
      </c>
      <c r="L749" t="s">
        <v>74</v>
      </c>
      <c r="M749" t="s">
        <v>77</v>
      </c>
      <c r="N749" t="s">
        <v>78</v>
      </c>
      <c r="O749" t="s">
        <v>74</v>
      </c>
      <c r="P749" t="s">
        <v>74</v>
      </c>
      <c r="Q749" t="s">
        <v>74</v>
      </c>
      <c r="R749" t="s">
        <v>74</v>
      </c>
      <c r="S749" t="s">
        <v>74</v>
      </c>
      <c r="T749" t="s">
        <v>10837</v>
      </c>
      <c r="U749" t="s">
        <v>10838</v>
      </c>
      <c r="V749" t="s">
        <v>10839</v>
      </c>
      <c r="W749" t="s">
        <v>10840</v>
      </c>
      <c r="X749" t="s">
        <v>10841</v>
      </c>
      <c r="Y749" t="s">
        <v>10842</v>
      </c>
      <c r="Z749" t="s">
        <v>74</v>
      </c>
      <c r="AA749" t="s">
        <v>10843</v>
      </c>
      <c r="AB749" t="s">
        <v>10844</v>
      </c>
      <c r="AC749" t="s">
        <v>74</v>
      </c>
      <c r="AD749" t="s">
        <v>74</v>
      </c>
      <c r="AE749" t="s">
        <v>74</v>
      </c>
      <c r="AF749" t="s">
        <v>74</v>
      </c>
      <c r="AG749">
        <v>49</v>
      </c>
      <c r="AH749">
        <v>56</v>
      </c>
      <c r="AI749">
        <v>65</v>
      </c>
      <c r="AJ749">
        <v>3</v>
      </c>
      <c r="AK749">
        <v>33</v>
      </c>
      <c r="AL749" t="s">
        <v>528</v>
      </c>
      <c r="AM749" t="s">
        <v>529</v>
      </c>
      <c r="AN749" t="s">
        <v>530</v>
      </c>
      <c r="AO749" t="s">
        <v>2138</v>
      </c>
      <c r="AP749" t="s">
        <v>74</v>
      </c>
      <c r="AQ749" t="s">
        <v>74</v>
      </c>
      <c r="AR749" t="s">
        <v>2140</v>
      </c>
      <c r="AS749" t="s">
        <v>2141</v>
      </c>
      <c r="AT749" t="s">
        <v>10845</v>
      </c>
      <c r="AU749">
        <v>2003</v>
      </c>
      <c r="AV749">
        <v>216</v>
      </c>
      <c r="AW749">
        <v>4</v>
      </c>
      <c r="AX749" t="s">
        <v>74</v>
      </c>
      <c r="AY749" t="s">
        <v>74</v>
      </c>
      <c r="AZ749" t="s">
        <v>74</v>
      </c>
      <c r="BA749" t="s">
        <v>74</v>
      </c>
      <c r="BB749">
        <v>515</v>
      </c>
      <c r="BC749">
        <v>524</v>
      </c>
      <c r="BD749" t="s">
        <v>74</v>
      </c>
      <c r="BE749" t="s">
        <v>10846</v>
      </c>
      <c r="BF749" t="str">
        <f>HYPERLINK("http://dx.doi.org/10.1016/S0012-821X(03)00556-9","http://dx.doi.org/10.1016/S0012-821X(03)00556-9")</f>
        <v>http://dx.doi.org/10.1016/S0012-821X(03)00556-9</v>
      </c>
      <c r="BG749" t="s">
        <v>74</v>
      </c>
      <c r="BH749" t="s">
        <v>74</v>
      </c>
      <c r="BI749">
        <v>10</v>
      </c>
      <c r="BJ749" t="s">
        <v>262</v>
      </c>
      <c r="BK749" t="s">
        <v>96</v>
      </c>
      <c r="BL749" t="s">
        <v>262</v>
      </c>
      <c r="BM749" t="s">
        <v>10847</v>
      </c>
      <c r="BN749" t="s">
        <v>74</v>
      </c>
      <c r="BO749" t="s">
        <v>74</v>
      </c>
      <c r="BP749" t="s">
        <v>74</v>
      </c>
      <c r="BQ749" t="s">
        <v>74</v>
      </c>
      <c r="BR749" t="s">
        <v>99</v>
      </c>
      <c r="BS749" t="s">
        <v>10848</v>
      </c>
      <c r="BT749" t="str">
        <f>HYPERLINK("https%3A%2F%2Fwww.webofscience.com%2Fwos%2Fwoscc%2Ffull-record%2FWOS:000187461800006","View Full Record in Web of Science")</f>
        <v>View Full Record in Web of Science</v>
      </c>
    </row>
    <row r="750" spans="1:72" x14ac:dyDescent="0.15">
      <c r="A750" t="s">
        <v>72</v>
      </c>
      <c r="B750" t="s">
        <v>10849</v>
      </c>
      <c r="C750" t="s">
        <v>74</v>
      </c>
      <c r="D750" t="s">
        <v>74</v>
      </c>
      <c r="E750" t="s">
        <v>74</v>
      </c>
      <c r="F750" t="s">
        <v>10849</v>
      </c>
      <c r="G750" t="s">
        <v>74</v>
      </c>
      <c r="H750" t="s">
        <v>74</v>
      </c>
      <c r="I750" t="s">
        <v>10850</v>
      </c>
      <c r="J750" t="s">
        <v>2128</v>
      </c>
      <c r="K750" t="s">
        <v>74</v>
      </c>
      <c r="L750" t="s">
        <v>74</v>
      </c>
      <c r="M750" t="s">
        <v>77</v>
      </c>
      <c r="N750" t="s">
        <v>78</v>
      </c>
      <c r="O750" t="s">
        <v>74</v>
      </c>
      <c r="P750" t="s">
        <v>74</v>
      </c>
      <c r="Q750" t="s">
        <v>74</v>
      </c>
      <c r="R750" t="s">
        <v>74</v>
      </c>
      <c r="S750" t="s">
        <v>74</v>
      </c>
      <c r="T750" t="s">
        <v>10851</v>
      </c>
      <c r="U750" t="s">
        <v>10852</v>
      </c>
      <c r="V750" t="s">
        <v>10853</v>
      </c>
      <c r="W750" t="s">
        <v>10854</v>
      </c>
      <c r="X750" t="s">
        <v>10855</v>
      </c>
      <c r="Y750" t="s">
        <v>10856</v>
      </c>
      <c r="Z750" t="s">
        <v>74</v>
      </c>
      <c r="AA750" t="s">
        <v>10857</v>
      </c>
      <c r="AB750" t="s">
        <v>10858</v>
      </c>
      <c r="AC750" t="s">
        <v>74</v>
      </c>
      <c r="AD750" t="s">
        <v>74</v>
      </c>
      <c r="AE750" t="s">
        <v>74</v>
      </c>
      <c r="AF750" t="s">
        <v>74</v>
      </c>
      <c r="AG750">
        <v>40</v>
      </c>
      <c r="AH750">
        <v>64</v>
      </c>
      <c r="AI750">
        <v>80</v>
      </c>
      <c r="AJ750">
        <v>0</v>
      </c>
      <c r="AK750">
        <v>9</v>
      </c>
      <c r="AL750" t="s">
        <v>528</v>
      </c>
      <c r="AM750" t="s">
        <v>529</v>
      </c>
      <c r="AN750" t="s">
        <v>530</v>
      </c>
      <c r="AO750" t="s">
        <v>2138</v>
      </c>
      <c r="AP750" t="s">
        <v>74</v>
      </c>
      <c r="AQ750" t="s">
        <v>74</v>
      </c>
      <c r="AR750" t="s">
        <v>2140</v>
      </c>
      <c r="AS750" t="s">
        <v>2141</v>
      </c>
      <c r="AT750" t="s">
        <v>10845</v>
      </c>
      <c r="AU750">
        <v>2003</v>
      </c>
      <c r="AV750">
        <v>216</v>
      </c>
      <c r="AW750">
        <v>4</v>
      </c>
      <c r="AX750" t="s">
        <v>74</v>
      </c>
      <c r="AY750" t="s">
        <v>74</v>
      </c>
      <c r="AZ750" t="s">
        <v>74</v>
      </c>
      <c r="BA750" t="s">
        <v>74</v>
      </c>
      <c r="BB750">
        <v>645</v>
      </c>
      <c r="BC750">
        <v>661</v>
      </c>
      <c r="BD750" t="s">
        <v>74</v>
      </c>
      <c r="BE750" t="s">
        <v>10859</v>
      </c>
      <c r="BF750" t="str">
        <f>HYPERLINK("http://dx.doi.org/10.1016/S0012-821X(03)00518-1","http://dx.doi.org/10.1016/S0012-821X(03)00518-1")</f>
        <v>http://dx.doi.org/10.1016/S0012-821X(03)00518-1</v>
      </c>
      <c r="BG750" t="s">
        <v>74</v>
      </c>
      <c r="BH750" t="s">
        <v>74</v>
      </c>
      <c r="BI750">
        <v>17</v>
      </c>
      <c r="BJ750" t="s">
        <v>262</v>
      </c>
      <c r="BK750" t="s">
        <v>96</v>
      </c>
      <c r="BL750" t="s">
        <v>262</v>
      </c>
      <c r="BM750" t="s">
        <v>10847</v>
      </c>
      <c r="BN750" t="s">
        <v>74</v>
      </c>
      <c r="BO750" t="s">
        <v>74</v>
      </c>
      <c r="BP750" t="s">
        <v>74</v>
      </c>
      <c r="BQ750" t="s">
        <v>74</v>
      </c>
      <c r="BR750" t="s">
        <v>99</v>
      </c>
      <c r="BS750" t="s">
        <v>10860</v>
      </c>
      <c r="BT750" t="str">
        <f>HYPERLINK("https%3A%2F%2Fwww.webofscience.com%2Fwos%2Fwoscc%2Ffull-record%2FWOS:000187461800016","View Full Record in Web of Science")</f>
        <v>View Full Record in Web of Science</v>
      </c>
    </row>
    <row r="751" spans="1:72" x14ac:dyDescent="0.15">
      <c r="A751" t="s">
        <v>72</v>
      </c>
      <c r="B751" t="s">
        <v>10861</v>
      </c>
      <c r="C751" t="s">
        <v>74</v>
      </c>
      <c r="D751" t="s">
        <v>74</v>
      </c>
      <c r="E751" t="s">
        <v>74</v>
      </c>
      <c r="F751" t="s">
        <v>10861</v>
      </c>
      <c r="G751" t="s">
        <v>74</v>
      </c>
      <c r="H751" t="s">
        <v>74</v>
      </c>
      <c r="I751" t="s">
        <v>10862</v>
      </c>
      <c r="J751" t="s">
        <v>2128</v>
      </c>
      <c r="K751" t="s">
        <v>74</v>
      </c>
      <c r="L751" t="s">
        <v>74</v>
      </c>
      <c r="M751" t="s">
        <v>77</v>
      </c>
      <c r="N751" t="s">
        <v>78</v>
      </c>
      <c r="O751" t="s">
        <v>74</v>
      </c>
      <c r="P751" t="s">
        <v>74</v>
      </c>
      <c r="Q751" t="s">
        <v>74</v>
      </c>
      <c r="R751" t="s">
        <v>74</v>
      </c>
      <c r="S751" t="s">
        <v>74</v>
      </c>
      <c r="T751" t="s">
        <v>10863</v>
      </c>
      <c r="U751" t="s">
        <v>10864</v>
      </c>
      <c r="V751" t="s">
        <v>10865</v>
      </c>
      <c r="W751" t="s">
        <v>10866</v>
      </c>
      <c r="X751" t="s">
        <v>10867</v>
      </c>
      <c r="Y751" t="s">
        <v>10868</v>
      </c>
      <c r="Z751" t="s">
        <v>74</v>
      </c>
      <c r="AA751" t="s">
        <v>74</v>
      </c>
      <c r="AB751" t="s">
        <v>10869</v>
      </c>
      <c r="AC751" t="s">
        <v>74</v>
      </c>
      <c r="AD751" t="s">
        <v>74</v>
      </c>
      <c r="AE751" t="s">
        <v>74</v>
      </c>
      <c r="AF751" t="s">
        <v>74</v>
      </c>
      <c r="AG751">
        <v>41</v>
      </c>
      <c r="AH751">
        <v>71</v>
      </c>
      <c r="AI751">
        <v>81</v>
      </c>
      <c r="AJ751">
        <v>0</v>
      </c>
      <c r="AK751">
        <v>23</v>
      </c>
      <c r="AL751" t="s">
        <v>528</v>
      </c>
      <c r="AM751" t="s">
        <v>529</v>
      </c>
      <c r="AN751" t="s">
        <v>530</v>
      </c>
      <c r="AO751" t="s">
        <v>2138</v>
      </c>
      <c r="AP751" t="s">
        <v>74</v>
      </c>
      <c r="AQ751" t="s">
        <v>74</v>
      </c>
      <c r="AR751" t="s">
        <v>2140</v>
      </c>
      <c r="AS751" t="s">
        <v>2141</v>
      </c>
      <c r="AT751" t="s">
        <v>10845</v>
      </c>
      <c r="AU751">
        <v>2003</v>
      </c>
      <c r="AV751">
        <v>216</v>
      </c>
      <c r="AW751">
        <v>4</v>
      </c>
      <c r="AX751" t="s">
        <v>74</v>
      </c>
      <c r="AY751" t="s">
        <v>74</v>
      </c>
      <c r="AZ751" t="s">
        <v>74</v>
      </c>
      <c r="BA751" t="s">
        <v>74</v>
      </c>
      <c r="BB751">
        <v>663</v>
      </c>
      <c r="BC751">
        <v>677</v>
      </c>
      <c r="BD751" t="s">
        <v>74</v>
      </c>
      <c r="BE751" t="s">
        <v>10870</v>
      </c>
      <c r="BF751" t="str">
        <f>HYPERLINK("http://dx.doi.org/10.1016/S0012-821X(03)00548-X","http://dx.doi.org/10.1016/S0012-821X(03)00548-X")</f>
        <v>http://dx.doi.org/10.1016/S0012-821X(03)00548-X</v>
      </c>
      <c r="BG751" t="s">
        <v>74</v>
      </c>
      <c r="BH751" t="s">
        <v>74</v>
      </c>
      <c r="BI751">
        <v>15</v>
      </c>
      <c r="BJ751" t="s">
        <v>262</v>
      </c>
      <c r="BK751" t="s">
        <v>96</v>
      </c>
      <c r="BL751" t="s">
        <v>262</v>
      </c>
      <c r="BM751" t="s">
        <v>10847</v>
      </c>
      <c r="BN751" t="s">
        <v>74</v>
      </c>
      <c r="BO751" t="s">
        <v>74</v>
      </c>
      <c r="BP751" t="s">
        <v>74</v>
      </c>
      <c r="BQ751" t="s">
        <v>74</v>
      </c>
      <c r="BR751" t="s">
        <v>99</v>
      </c>
      <c r="BS751" t="s">
        <v>10871</v>
      </c>
      <c r="BT751" t="str">
        <f>HYPERLINK("https%3A%2F%2Fwww.webofscience.com%2Fwos%2Fwoscc%2Ffull-record%2FWOS:000187461800017","View Full Record in Web of Science")</f>
        <v>View Full Record in Web of Science</v>
      </c>
    </row>
    <row r="752" spans="1:72" x14ac:dyDescent="0.15">
      <c r="A752" t="s">
        <v>72</v>
      </c>
      <c r="B752" t="s">
        <v>10872</v>
      </c>
      <c r="C752" t="s">
        <v>74</v>
      </c>
      <c r="D752" t="s">
        <v>74</v>
      </c>
      <c r="E752" t="s">
        <v>74</v>
      </c>
      <c r="F752" t="s">
        <v>10872</v>
      </c>
      <c r="G752" t="s">
        <v>74</v>
      </c>
      <c r="H752" t="s">
        <v>74</v>
      </c>
      <c r="I752" t="s">
        <v>10873</v>
      </c>
      <c r="J752" t="s">
        <v>356</v>
      </c>
      <c r="K752" t="s">
        <v>74</v>
      </c>
      <c r="L752" t="s">
        <v>74</v>
      </c>
      <c r="M752" t="s">
        <v>77</v>
      </c>
      <c r="N752" t="s">
        <v>78</v>
      </c>
      <c r="O752" t="s">
        <v>74</v>
      </c>
      <c r="P752" t="s">
        <v>74</v>
      </c>
      <c r="Q752" t="s">
        <v>74</v>
      </c>
      <c r="R752" t="s">
        <v>74</v>
      </c>
      <c r="S752" t="s">
        <v>74</v>
      </c>
      <c r="T752" t="s">
        <v>10874</v>
      </c>
      <c r="U752" t="s">
        <v>10875</v>
      </c>
      <c r="V752" t="s">
        <v>10876</v>
      </c>
      <c r="W752" t="s">
        <v>10877</v>
      </c>
      <c r="X752" t="s">
        <v>10878</v>
      </c>
      <c r="Y752" t="s">
        <v>10879</v>
      </c>
      <c r="Z752" t="s">
        <v>10880</v>
      </c>
      <c r="AA752" t="s">
        <v>10881</v>
      </c>
      <c r="AB752" t="s">
        <v>10882</v>
      </c>
      <c r="AC752" t="s">
        <v>74</v>
      </c>
      <c r="AD752" t="s">
        <v>74</v>
      </c>
      <c r="AE752" t="s">
        <v>74</v>
      </c>
      <c r="AF752" t="s">
        <v>74</v>
      </c>
      <c r="AG752">
        <v>34</v>
      </c>
      <c r="AH752">
        <v>24</v>
      </c>
      <c r="AI752">
        <v>25</v>
      </c>
      <c r="AJ752">
        <v>1</v>
      </c>
      <c r="AK752">
        <v>12</v>
      </c>
      <c r="AL752" t="s">
        <v>363</v>
      </c>
      <c r="AM752" t="s">
        <v>364</v>
      </c>
      <c r="AN752" t="s">
        <v>365</v>
      </c>
      <c r="AO752" t="s">
        <v>366</v>
      </c>
      <c r="AP752" t="s">
        <v>74</v>
      </c>
      <c r="AQ752" t="s">
        <v>74</v>
      </c>
      <c r="AR752" t="s">
        <v>367</v>
      </c>
      <c r="AS752" t="s">
        <v>368</v>
      </c>
      <c r="AT752" t="s">
        <v>10845</v>
      </c>
      <c r="AU752">
        <v>2003</v>
      </c>
      <c r="AV752">
        <v>17</v>
      </c>
      <c r="AW752">
        <v>4</v>
      </c>
      <c r="AX752" t="s">
        <v>74</v>
      </c>
      <c r="AY752" t="s">
        <v>74</v>
      </c>
      <c r="AZ752" t="s">
        <v>74</v>
      </c>
      <c r="BA752" t="s">
        <v>74</v>
      </c>
      <c r="BB752" t="s">
        <v>74</v>
      </c>
      <c r="BC752" t="s">
        <v>74</v>
      </c>
      <c r="BD752">
        <v>1113</v>
      </c>
      <c r="BE752" t="s">
        <v>10883</v>
      </c>
      <c r="BF752" t="str">
        <f>HYPERLINK("http://dx.doi.org/10.1029/2003GB002089","http://dx.doi.org/10.1029/2003GB002089")</f>
        <v>http://dx.doi.org/10.1029/2003GB002089</v>
      </c>
      <c r="BG752" t="s">
        <v>74</v>
      </c>
      <c r="BH752" t="s">
        <v>74</v>
      </c>
      <c r="BI752">
        <v>13</v>
      </c>
      <c r="BJ752" t="s">
        <v>372</v>
      </c>
      <c r="BK752" t="s">
        <v>96</v>
      </c>
      <c r="BL752" t="s">
        <v>373</v>
      </c>
      <c r="BM752" t="s">
        <v>10884</v>
      </c>
      <c r="BN752" t="s">
        <v>74</v>
      </c>
      <c r="BO752" t="s">
        <v>541</v>
      </c>
      <c r="BP752" t="s">
        <v>74</v>
      </c>
      <c r="BQ752" t="s">
        <v>74</v>
      </c>
      <c r="BR752" t="s">
        <v>99</v>
      </c>
      <c r="BS752" t="s">
        <v>10885</v>
      </c>
      <c r="BT752" t="str">
        <f>HYPERLINK("https%3A%2F%2Fwww.webofscience.com%2Fwos%2Fwoscc%2Ffull-record%2FWOS:000187490200003","View Full Record in Web of Science")</f>
        <v>View Full Record in Web of Science</v>
      </c>
    </row>
    <row r="753" spans="1:72" x14ac:dyDescent="0.15">
      <c r="A753" t="s">
        <v>72</v>
      </c>
      <c r="B753" t="s">
        <v>10886</v>
      </c>
      <c r="C753" t="s">
        <v>74</v>
      </c>
      <c r="D753" t="s">
        <v>74</v>
      </c>
      <c r="E753" t="s">
        <v>74</v>
      </c>
      <c r="F753" t="s">
        <v>10886</v>
      </c>
      <c r="G753" t="s">
        <v>74</v>
      </c>
      <c r="H753" t="s">
        <v>74</v>
      </c>
      <c r="I753" t="s">
        <v>10887</v>
      </c>
      <c r="J753" t="s">
        <v>378</v>
      </c>
      <c r="K753" t="s">
        <v>74</v>
      </c>
      <c r="L753" t="s">
        <v>74</v>
      </c>
      <c r="M753" t="s">
        <v>77</v>
      </c>
      <c r="N753" t="s">
        <v>78</v>
      </c>
      <c r="O753" t="s">
        <v>74</v>
      </c>
      <c r="P753" t="s">
        <v>74</v>
      </c>
      <c r="Q753" t="s">
        <v>74</v>
      </c>
      <c r="R753" t="s">
        <v>74</v>
      </c>
      <c r="S753" t="s">
        <v>74</v>
      </c>
      <c r="T753" t="s">
        <v>10888</v>
      </c>
      <c r="U753" t="s">
        <v>10889</v>
      </c>
      <c r="V753" t="s">
        <v>10890</v>
      </c>
      <c r="W753" t="s">
        <v>10891</v>
      </c>
      <c r="X753" t="s">
        <v>10892</v>
      </c>
      <c r="Y753" t="s">
        <v>10893</v>
      </c>
      <c r="Z753" t="s">
        <v>10894</v>
      </c>
      <c r="AA753" t="s">
        <v>10895</v>
      </c>
      <c r="AB753" t="s">
        <v>10896</v>
      </c>
      <c r="AC753" t="s">
        <v>74</v>
      </c>
      <c r="AD753" t="s">
        <v>74</v>
      </c>
      <c r="AE753" t="s">
        <v>74</v>
      </c>
      <c r="AF753" t="s">
        <v>74</v>
      </c>
      <c r="AG753">
        <v>31</v>
      </c>
      <c r="AH753">
        <v>56</v>
      </c>
      <c r="AI753">
        <v>61</v>
      </c>
      <c r="AJ753">
        <v>0</v>
      </c>
      <c r="AK753">
        <v>1</v>
      </c>
      <c r="AL753" t="s">
        <v>363</v>
      </c>
      <c r="AM753" t="s">
        <v>364</v>
      </c>
      <c r="AN753" t="s">
        <v>365</v>
      </c>
      <c r="AO753" t="s">
        <v>388</v>
      </c>
      <c r="AP753" t="s">
        <v>389</v>
      </c>
      <c r="AQ753" t="s">
        <v>74</v>
      </c>
      <c r="AR753" t="s">
        <v>390</v>
      </c>
      <c r="AS753" t="s">
        <v>391</v>
      </c>
      <c r="AT753" t="s">
        <v>10897</v>
      </c>
      <c r="AU753">
        <v>2003</v>
      </c>
      <c r="AV753">
        <v>108</v>
      </c>
      <c r="AW753" t="s">
        <v>10575</v>
      </c>
      <c r="AX753" t="s">
        <v>74</v>
      </c>
      <c r="AY753" t="s">
        <v>74</v>
      </c>
      <c r="AZ753" t="s">
        <v>74</v>
      </c>
      <c r="BA753" t="s">
        <v>74</v>
      </c>
      <c r="BB753" t="s">
        <v>74</v>
      </c>
      <c r="BC753" t="s">
        <v>74</v>
      </c>
      <c r="BD753">
        <v>1428</v>
      </c>
      <c r="BE753" t="s">
        <v>10898</v>
      </c>
      <c r="BF753" t="str">
        <f>HYPERLINK("http://dx.doi.org/10.1029/2002JA009790","http://dx.doi.org/10.1029/2002JA009790")</f>
        <v>http://dx.doi.org/10.1029/2002JA009790</v>
      </c>
      <c r="BG753" t="s">
        <v>74</v>
      </c>
      <c r="BH753" t="s">
        <v>74</v>
      </c>
      <c r="BI753">
        <v>16</v>
      </c>
      <c r="BJ753" t="s">
        <v>395</v>
      </c>
      <c r="BK753" t="s">
        <v>96</v>
      </c>
      <c r="BL753" t="s">
        <v>395</v>
      </c>
      <c r="BM753" t="s">
        <v>10899</v>
      </c>
      <c r="BN753" t="s">
        <v>74</v>
      </c>
      <c r="BO753" t="s">
        <v>74</v>
      </c>
      <c r="BP753" t="s">
        <v>74</v>
      </c>
      <c r="BQ753" t="s">
        <v>74</v>
      </c>
      <c r="BR753" t="s">
        <v>99</v>
      </c>
      <c r="BS753" t="s">
        <v>10900</v>
      </c>
      <c r="BT753" t="str">
        <f>HYPERLINK("https%3A%2F%2Fwww.webofscience.com%2Fwos%2Fwoscc%2Ffull-record%2FWOS:000187494200003","View Full Record in Web of Science")</f>
        <v>View Full Record in Web of Science</v>
      </c>
    </row>
    <row r="754" spans="1:72" x14ac:dyDescent="0.15">
      <c r="A754" t="s">
        <v>72</v>
      </c>
      <c r="B754" t="s">
        <v>10901</v>
      </c>
      <c r="C754" t="s">
        <v>74</v>
      </c>
      <c r="D754" t="s">
        <v>74</v>
      </c>
      <c r="E754" t="s">
        <v>74</v>
      </c>
      <c r="F754" t="s">
        <v>10901</v>
      </c>
      <c r="G754" t="s">
        <v>74</v>
      </c>
      <c r="H754" t="s">
        <v>74</v>
      </c>
      <c r="I754" t="s">
        <v>10902</v>
      </c>
      <c r="J754" t="s">
        <v>10903</v>
      </c>
      <c r="K754" t="s">
        <v>74</v>
      </c>
      <c r="L754" t="s">
        <v>74</v>
      </c>
      <c r="M754" t="s">
        <v>77</v>
      </c>
      <c r="N754" t="s">
        <v>78</v>
      </c>
      <c r="O754" t="s">
        <v>74</v>
      </c>
      <c r="P754" t="s">
        <v>74</v>
      </c>
      <c r="Q754" t="s">
        <v>74</v>
      </c>
      <c r="R754" t="s">
        <v>74</v>
      </c>
      <c r="S754" t="s">
        <v>74</v>
      </c>
      <c r="T754" t="s">
        <v>10904</v>
      </c>
      <c r="U754" t="s">
        <v>10905</v>
      </c>
      <c r="V754" t="s">
        <v>10906</v>
      </c>
      <c r="W754" t="s">
        <v>10907</v>
      </c>
      <c r="X754" t="s">
        <v>10908</v>
      </c>
      <c r="Y754" t="s">
        <v>10909</v>
      </c>
      <c r="Z754" t="s">
        <v>74</v>
      </c>
      <c r="AA754" t="s">
        <v>74</v>
      </c>
      <c r="AB754" t="s">
        <v>74</v>
      </c>
      <c r="AC754" t="s">
        <v>74</v>
      </c>
      <c r="AD754" t="s">
        <v>74</v>
      </c>
      <c r="AE754" t="s">
        <v>74</v>
      </c>
      <c r="AF754" t="s">
        <v>74</v>
      </c>
      <c r="AG754">
        <v>30</v>
      </c>
      <c r="AH754">
        <v>16</v>
      </c>
      <c r="AI754">
        <v>20</v>
      </c>
      <c r="AJ754">
        <v>0</v>
      </c>
      <c r="AK754">
        <v>14</v>
      </c>
      <c r="AL754" t="s">
        <v>1451</v>
      </c>
      <c r="AM754" t="s">
        <v>1452</v>
      </c>
      <c r="AN754" t="s">
        <v>1453</v>
      </c>
      <c r="AO754" t="s">
        <v>10910</v>
      </c>
      <c r="AP754" t="s">
        <v>74</v>
      </c>
      <c r="AQ754" t="s">
        <v>74</v>
      </c>
      <c r="AR754" t="s">
        <v>10911</v>
      </c>
      <c r="AS754" t="s">
        <v>10912</v>
      </c>
      <c r="AT754" t="s">
        <v>10913</v>
      </c>
      <c r="AU754">
        <v>2003</v>
      </c>
      <c r="AV754">
        <v>312</v>
      </c>
      <c r="AW754">
        <v>1</v>
      </c>
      <c r="AX754" t="s">
        <v>74</v>
      </c>
      <c r="AY754" t="s">
        <v>74</v>
      </c>
      <c r="AZ754" t="s">
        <v>74</v>
      </c>
      <c r="BA754" t="s">
        <v>74</v>
      </c>
      <c r="BB754">
        <v>235</v>
      </c>
      <c r="BC754">
        <v>240</v>
      </c>
      <c r="BD754" t="s">
        <v>74</v>
      </c>
      <c r="BE754" t="s">
        <v>10914</v>
      </c>
      <c r="BF754" t="str">
        <f>HYPERLINK("http://dx.doi.org/10.1016/j.bbrc.2003.09.163","http://dx.doi.org/10.1016/j.bbrc.2003.09.163")</f>
        <v>http://dx.doi.org/10.1016/j.bbrc.2003.09.163</v>
      </c>
      <c r="BG754" t="s">
        <v>74</v>
      </c>
      <c r="BH754" t="s">
        <v>74</v>
      </c>
      <c r="BI754">
        <v>6</v>
      </c>
      <c r="BJ754" t="s">
        <v>3852</v>
      </c>
      <c r="BK754" t="s">
        <v>96</v>
      </c>
      <c r="BL754" t="s">
        <v>3852</v>
      </c>
      <c r="BM754" t="s">
        <v>10915</v>
      </c>
      <c r="BN754">
        <v>14630048</v>
      </c>
      <c r="BO754" t="s">
        <v>74</v>
      </c>
      <c r="BP754" t="s">
        <v>74</v>
      </c>
      <c r="BQ754" t="s">
        <v>74</v>
      </c>
      <c r="BR754" t="s">
        <v>99</v>
      </c>
      <c r="BS754" t="s">
        <v>10916</v>
      </c>
      <c r="BT754" t="str">
        <f>HYPERLINK("https%3A%2F%2Fwww.webofscience.com%2Fwos%2Fwoscc%2Ffull-record%2FWOS:000186919500040","View Full Record in Web of Science")</f>
        <v>View Full Record in Web of Science</v>
      </c>
    </row>
    <row r="755" spans="1:72" x14ac:dyDescent="0.15">
      <c r="A755" t="s">
        <v>72</v>
      </c>
      <c r="B755" t="s">
        <v>10917</v>
      </c>
      <c r="C755" t="s">
        <v>74</v>
      </c>
      <c r="D755" t="s">
        <v>74</v>
      </c>
      <c r="E755" t="s">
        <v>74</v>
      </c>
      <c r="F755" t="s">
        <v>10917</v>
      </c>
      <c r="G755" t="s">
        <v>74</v>
      </c>
      <c r="H755" t="s">
        <v>74</v>
      </c>
      <c r="I755" t="s">
        <v>10918</v>
      </c>
      <c r="J755" t="s">
        <v>520</v>
      </c>
      <c r="K755" t="s">
        <v>74</v>
      </c>
      <c r="L755" t="s">
        <v>74</v>
      </c>
      <c r="M755" t="s">
        <v>77</v>
      </c>
      <c r="N755" t="s">
        <v>78</v>
      </c>
      <c r="O755" t="s">
        <v>74</v>
      </c>
      <c r="P755" t="s">
        <v>74</v>
      </c>
      <c r="Q755" t="s">
        <v>74</v>
      </c>
      <c r="R755" t="s">
        <v>74</v>
      </c>
      <c r="S755" t="s">
        <v>74</v>
      </c>
      <c r="T755" t="s">
        <v>10919</v>
      </c>
      <c r="U755" t="s">
        <v>10920</v>
      </c>
      <c r="V755" t="s">
        <v>10921</v>
      </c>
      <c r="W755" t="s">
        <v>10922</v>
      </c>
      <c r="X755" t="s">
        <v>10923</v>
      </c>
      <c r="Y755" t="s">
        <v>10924</v>
      </c>
      <c r="Z755" t="s">
        <v>10925</v>
      </c>
      <c r="AA755" t="s">
        <v>74</v>
      </c>
      <c r="AB755" t="s">
        <v>74</v>
      </c>
      <c r="AC755" t="s">
        <v>74</v>
      </c>
      <c r="AD755" t="s">
        <v>74</v>
      </c>
      <c r="AE755" t="s">
        <v>74</v>
      </c>
      <c r="AF755" t="s">
        <v>74</v>
      </c>
      <c r="AG755">
        <v>46</v>
      </c>
      <c r="AH755">
        <v>10</v>
      </c>
      <c r="AI755">
        <v>13</v>
      </c>
      <c r="AJ755">
        <v>1</v>
      </c>
      <c r="AK755">
        <v>9</v>
      </c>
      <c r="AL755" t="s">
        <v>528</v>
      </c>
      <c r="AM755" t="s">
        <v>529</v>
      </c>
      <c r="AN755" t="s">
        <v>530</v>
      </c>
      <c r="AO755" t="s">
        <v>531</v>
      </c>
      <c r="AP755" t="s">
        <v>74</v>
      </c>
      <c r="AQ755" t="s">
        <v>74</v>
      </c>
      <c r="AR755" t="s">
        <v>533</v>
      </c>
      <c r="AS755" t="s">
        <v>534</v>
      </c>
      <c r="AT755" t="s">
        <v>10913</v>
      </c>
      <c r="AU755">
        <v>2003</v>
      </c>
      <c r="AV755">
        <v>210</v>
      </c>
      <c r="AW755" t="s">
        <v>710</v>
      </c>
      <c r="AX755" t="s">
        <v>74</v>
      </c>
      <c r="AY755" t="s">
        <v>74</v>
      </c>
      <c r="AZ755" t="s">
        <v>74</v>
      </c>
      <c r="BA755" t="s">
        <v>74</v>
      </c>
      <c r="BB755">
        <v>307</v>
      </c>
      <c r="BC755">
        <v>320</v>
      </c>
      <c r="BD755" t="s">
        <v>74</v>
      </c>
      <c r="BE755" t="s">
        <v>10926</v>
      </c>
      <c r="BF755" t="str">
        <f>HYPERLINK("http://dx.doi.org/10.1016/S0031-0182(03)00617-5","http://dx.doi.org/10.1016/S0031-0182(03)00617-5")</f>
        <v>http://dx.doi.org/10.1016/S0031-0182(03)00617-5</v>
      </c>
      <c r="BG755" t="s">
        <v>74</v>
      </c>
      <c r="BH755" t="s">
        <v>74</v>
      </c>
      <c r="BI755">
        <v>14</v>
      </c>
      <c r="BJ755" t="s">
        <v>538</v>
      </c>
      <c r="BK755" t="s">
        <v>96</v>
      </c>
      <c r="BL755" t="s">
        <v>539</v>
      </c>
      <c r="BM755" t="s">
        <v>10927</v>
      </c>
      <c r="BN755" t="s">
        <v>74</v>
      </c>
      <c r="BO755" t="s">
        <v>74</v>
      </c>
      <c r="BP755" t="s">
        <v>74</v>
      </c>
      <c r="BQ755" t="s">
        <v>74</v>
      </c>
      <c r="BR755" t="s">
        <v>99</v>
      </c>
      <c r="BS755" t="s">
        <v>10928</v>
      </c>
      <c r="BT755" t="str">
        <f>HYPERLINK("https%3A%2F%2Fwww.webofscience.com%2Fwos%2Fwoscc%2Ffull-record%2FWOS:000187208900010","View Full Record in Web of Science")</f>
        <v>View Full Record in Web of Science</v>
      </c>
    </row>
    <row r="756" spans="1:72" x14ac:dyDescent="0.15">
      <c r="A756" t="s">
        <v>72</v>
      </c>
      <c r="B756" t="s">
        <v>10929</v>
      </c>
      <c r="C756" t="s">
        <v>74</v>
      </c>
      <c r="D756" t="s">
        <v>74</v>
      </c>
      <c r="E756" t="s">
        <v>74</v>
      </c>
      <c r="F756" t="s">
        <v>10929</v>
      </c>
      <c r="G756" t="s">
        <v>74</v>
      </c>
      <c r="H756" t="s">
        <v>74</v>
      </c>
      <c r="I756" t="s">
        <v>10930</v>
      </c>
      <c r="J756" t="s">
        <v>799</v>
      </c>
      <c r="K756" t="s">
        <v>74</v>
      </c>
      <c r="L756" t="s">
        <v>74</v>
      </c>
      <c r="M756" t="s">
        <v>77</v>
      </c>
      <c r="N756" t="s">
        <v>78</v>
      </c>
      <c r="O756" t="s">
        <v>74</v>
      </c>
      <c r="P756" t="s">
        <v>74</v>
      </c>
      <c r="Q756" t="s">
        <v>74</v>
      </c>
      <c r="R756" t="s">
        <v>74</v>
      </c>
      <c r="S756" t="s">
        <v>74</v>
      </c>
      <c r="T756" t="s">
        <v>10931</v>
      </c>
      <c r="U756" t="s">
        <v>10932</v>
      </c>
      <c r="V756" t="s">
        <v>10933</v>
      </c>
      <c r="W756" t="s">
        <v>10934</v>
      </c>
      <c r="X756" t="s">
        <v>10935</v>
      </c>
      <c r="Y756" t="s">
        <v>10936</v>
      </c>
      <c r="Z756" t="s">
        <v>74</v>
      </c>
      <c r="AA756" t="s">
        <v>74</v>
      </c>
      <c r="AB756" t="s">
        <v>10937</v>
      </c>
      <c r="AC756" t="s">
        <v>74</v>
      </c>
      <c r="AD756" t="s">
        <v>74</v>
      </c>
      <c r="AE756" t="s">
        <v>74</v>
      </c>
      <c r="AF756" t="s">
        <v>74</v>
      </c>
      <c r="AG756">
        <v>81</v>
      </c>
      <c r="AH756">
        <v>18</v>
      </c>
      <c r="AI756">
        <v>22</v>
      </c>
      <c r="AJ756">
        <v>0</v>
      </c>
      <c r="AK756">
        <v>12</v>
      </c>
      <c r="AL756" t="s">
        <v>363</v>
      </c>
      <c r="AM756" t="s">
        <v>364</v>
      </c>
      <c r="AN756" t="s">
        <v>365</v>
      </c>
      <c r="AO756" t="s">
        <v>809</v>
      </c>
      <c r="AP756" t="s">
        <v>74</v>
      </c>
      <c r="AQ756" t="s">
        <v>74</v>
      </c>
      <c r="AR756" t="s">
        <v>799</v>
      </c>
      <c r="AS756" t="s">
        <v>811</v>
      </c>
      <c r="AT756" t="s">
        <v>10913</v>
      </c>
      <c r="AU756">
        <v>2003</v>
      </c>
      <c r="AV756">
        <v>18</v>
      </c>
      <c r="AW756">
        <v>4</v>
      </c>
      <c r="AX756" t="s">
        <v>74</v>
      </c>
      <c r="AY756" t="s">
        <v>74</v>
      </c>
      <c r="AZ756" t="s">
        <v>74</v>
      </c>
      <c r="BA756" t="s">
        <v>74</v>
      </c>
      <c r="BB756" t="s">
        <v>74</v>
      </c>
      <c r="BC756" t="s">
        <v>74</v>
      </c>
      <c r="BD756">
        <v>1091</v>
      </c>
      <c r="BE756" t="s">
        <v>10938</v>
      </c>
      <c r="BF756" t="str">
        <f>HYPERLINK("http://dx.doi.org/10.1029/2003PA000919","http://dx.doi.org/10.1029/2003PA000919")</f>
        <v>http://dx.doi.org/10.1029/2003PA000919</v>
      </c>
      <c r="BG756" t="s">
        <v>74</v>
      </c>
      <c r="BH756" t="s">
        <v>74</v>
      </c>
      <c r="BI756">
        <v>17</v>
      </c>
      <c r="BJ756" t="s">
        <v>814</v>
      </c>
      <c r="BK756" t="s">
        <v>96</v>
      </c>
      <c r="BL756" t="s">
        <v>815</v>
      </c>
      <c r="BM756" t="s">
        <v>10939</v>
      </c>
      <c r="BN756" t="s">
        <v>74</v>
      </c>
      <c r="BO756" t="s">
        <v>10940</v>
      </c>
      <c r="BP756" t="s">
        <v>74</v>
      </c>
      <c r="BQ756" t="s">
        <v>74</v>
      </c>
      <c r="BR756" t="s">
        <v>99</v>
      </c>
      <c r="BS756" t="s">
        <v>10941</v>
      </c>
      <c r="BT756" t="str">
        <f>HYPERLINK("https%3A%2F%2Fwww.webofscience.com%2Fwos%2Fwoscc%2Ffull-record%2FWOS:000187486400001","View Full Record in Web of Science")</f>
        <v>View Full Record in Web of Science</v>
      </c>
    </row>
    <row r="757" spans="1:72" x14ac:dyDescent="0.15">
      <c r="A757" t="s">
        <v>72</v>
      </c>
      <c r="B757" t="s">
        <v>10942</v>
      </c>
      <c r="C757" t="s">
        <v>74</v>
      </c>
      <c r="D757" t="s">
        <v>74</v>
      </c>
      <c r="E757" t="s">
        <v>74</v>
      </c>
      <c r="F757" t="s">
        <v>10942</v>
      </c>
      <c r="G757" t="s">
        <v>74</v>
      </c>
      <c r="H757" t="s">
        <v>74</v>
      </c>
      <c r="I757" t="s">
        <v>10943</v>
      </c>
      <c r="J757" t="s">
        <v>419</v>
      </c>
      <c r="K757" t="s">
        <v>74</v>
      </c>
      <c r="L757" t="s">
        <v>74</v>
      </c>
      <c r="M757" t="s">
        <v>77</v>
      </c>
      <c r="N757" t="s">
        <v>78</v>
      </c>
      <c r="O757" t="s">
        <v>74</v>
      </c>
      <c r="P757" t="s">
        <v>74</v>
      </c>
      <c r="Q757" t="s">
        <v>74</v>
      </c>
      <c r="R757" t="s">
        <v>74</v>
      </c>
      <c r="S757" t="s">
        <v>74</v>
      </c>
      <c r="T757" t="s">
        <v>10944</v>
      </c>
      <c r="U757" t="s">
        <v>10945</v>
      </c>
      <c r="V757" t="s">
        <v>10946</v>
      </c>
      <c r="W757" t="s">
        <v>10947</v>
      </c>
      <c r="X757" t="s">
        <v>10097</v>
      </c>
      <c r="Y757" t="s">
        <v>74</v>
      </c>
      <c r="Z757" t="s">
        <v>10948</v>
      </c>
      <c r="AA757" t="s">
        <v>10949</v>
      </c>
      <c r="AB757" t="s">
        <v>10950</v>
      </c>
      <c r="AC757" t="s">
        <v>74</v>
      </c>
      <c r="AD757" t="s">
        <v>74</v>
      </c>
      <c r="AE757" t="s">
        <v>74</v>
      </c>
      <c r="AF757" t="s">
        <v>74</v>
      </c>
      <c r="AG757">
        <v>53</v>
      </c>
      <c r="AH757">
        <v>9</v>
      </c>
      <c r="AI757">
        <v>9</v>
      </c>
      <c r="AJ757">
        <v>0</v>
      </c>
      <c r="AK757">
        <v>3</v>
      </c>
      <c r="AL757" t="s">
        <v>363</v>
      </c>
      <c r="AM757" t="s">
        <v>364</v>
      </c>
      <c r="AN757" t="s">
        <v>365</v>
      </c>
      <c r="AO757" t="s">
        <v>429</v>
      </c>
      <c r="AP757" t="s">
        <v>430</v>
      </c>
      <c r="AQ757" t="s">
        <v>74</v>
      </c>
      <c r="AR757" t="s">
        <v>431</v>
      </c>
      <c r="AS757" t="s">
        <v>432</v>
      </c>
      <c r="AT757" t="s">
        <v>10951</v>
      </c>
      <c r="AU757">
        <v>2003</v>
      </c>
      <c r="AV757">
        <v>108</v>
      </c>
      <c r="AW757" t="s">
        <v>10788</v>
      </c>
      <c r="AX757" t="s">
        <v>74</v>
      </c>
      <c r="AY757" t="s">
        <v>74</v>
      </c>
      <c r="AZ757" t="s">
        <v>74</v>
      </c>
      <c r="BA757" t="s">
        <v>74</v>
      </c>
      <c r="BB757" t="s">
        <v>74</v>
      </c>
      <c r="BC757" t="s">
        <v>74</v>
      </c>
      <c r="BD757">
        <v>4718</v>
      </c>
      <c r="BE757" t="s">
        <v>10952</v>
      </c>
      <c r="BF757" t="str">
        <f>HYPERLINK("http://dx.doi.org/10.1029/2003JD003718","http://dx.doi.org/10.1029/2003JD003718")</f>
        <v>http://dx.doi.org/10.1029/2003JD003718</v>
      </c>
      <c r="BG757" t="s">
        <v>74</v>
      </c>
      <c r="BH757" t="s">
        <v>74</v>
      </c>
      <c r="BI757">
        <v>13</v>
      </c>
      <c r="BJ757" t="s">
        <v>186</v>
      </c>
      <c r="BK757" t="s">
        <v>96</v>
      </c>
      <c r="BL757" t="s">
        <v>186</v>
      </c>
      <c r="BM757" t="s">
        <v>10953</v>
      </c>
      <c r="BN757" t="s">
        <v>74</v>
      </c>
      <c r="BO757" t="s">
        <v>541</v>
      </c>
      <c r="BP757" t="s">
        <v>74</v>
      </c>
      <c r="BQ757" t="s">
        <v>74</v>
      </c>
      <c r="BR757" t="s">
        <v>99</v>
      </c>
      <c r="BS757" t="s">
        <v>10954</v>
      </c>
      <c r="BT757" t="str">
        <f>HYPERLINK("https%3A%2F%2Fwww.webofscience.com%2Fwos%2Fwoscc%2Ffull-record%2FWOS:000187483000004","View Full Record in Web of Science")</f>
        <v>View Full Record in Web of Science</v>
      </c>
    </row>
    <row r="758" spans="1:72" x14ac:dyDescent="0.15">
      <c r="A758" t="s">
        <v>72</v>
      </c>
      <c r="B758" t="s">
        <v>10955</v>
      </c>
      <c r="C758" t="s">
        <v>74</v>
      </c>
      <c r="D758" t="s">
        <v>74</v>
      </c>
      <c r="E758" t="s">
        <v>74</v>
      </c>
      <c r="F758" t="s">
        <v>10955</v>
      </c>
      <c r="G758" t="s">
        <v>74</v>
      </c>
      <c r="H758" t="s">
        <v>74</v>
      </c>
      <c r="I758" t="s">
        <v>10956</v>
      </c>
      <c r="J758" t="s">
        <v>2431</v>
      </c>
      <c r="K758" t="s">
        <v>74</v>
      </c>
      <c r="L758" t="s">
        <v>74</v>
      </c>
      <c r="M758" t="s">
        <v>77</v>
      </c>
      <c r="N758" t="s">
        <v>78</v>
      </c>
      <c r="O758" t="s">
        <v>74</v>
      </c>
      <c r="P758" t="s">
        <v>74</v>
      </c>
      <c r="Q758" t="s">
        <v>74</v>
      </c>
      <c r="R758" t="s">
        <v>74</v>
      </c>
      <c r="S758" t="s">
        <v>74</v>
      </c>
      <c r="T758" t="s">
        <v>10957</v>
      </c>
      <c r="U758" t="s">
        <v>10958</v>
      </c>
      <c r="V758" t="s">
        <v>10959</v>
      </c>
      <c r="W758" t="s">
        <v>10960</v>
      </c>
      <c r="X758" t="s">
        <v>10961</v>
      </c>
      <c r="Y758" t="s">
        <v>10962</v>
      </c>
      <c r="Z758" t="s">
        <v>74</v>
      </c>
      <c r="AA758" t="s">
        <v>74</v>
      </c>
      <c r="AB758" t="s">
        <v>74</v>
      </c>
      <c r="AC758" t="s">
        <v>74</v>
      </c>
      <c r="AD758" t="s">
        <v>74</v>
      </c>
      <c r="AE758" t="s">
        <v>74</v>
      </c>
      <c r="AF758" t="s">
        <v>74</v>
      </c>
      <c r="AG758">
        <v>63</v>
      </c>
      <c r="AH758">
        <v>113</v>
      </c>
      <c r="AI758">
        <v>124</v>
      </c>
      <c r="AJ758">
        <v>0</v>
      </c>
      <c r="AK758">
        <v>39</v>
      </c>
      <c r="AL758" t="s">
        <v>363</v>
      </c>
      <c r="AM758" t="s">
        <v>364</v>
      </c>
      <c r="AN758" t="s">
        <v>365</v>
      </c>
      <c r="AO758" t="s">
        <v>2434</v>
      </c>
      <c r="AP758" t="s">
        <v>74</v>
      </c>
      <c r="AQ758" t="s">
        <v>74</v>
      </c>
      <c r="AR758" t="s">
        <v>2435</v>
      </c>
      <c r="AS758" t="s">
        <v>2436</v>
      </c>
      <c r="AT758" t="s">
        <v>10963</v>
      </c>
      <c r="AU758">
        <v>2003</v>
      </c>
      <c r="AV758">
        <v>4</v>
      </c>
      <c r="AW758" t="s">
        <v>74</v>
      </c>
      <c r="AX758" t="s">
        <v>74</v>
      </c>
      <c r="AY758" t="s">
        <v>74</v>
      </c>
      <c r="AZ758" t="s">
        <v>74</v>
      </c>
      <c r="BA758" t="s">
        <v>74</v>
      </c>
      <c r="BB758" t="s">
        <v>74</v>
      </c>
      <c r="BC758" t="s">
        <v>74</v>
      </c>
      <c r="BD758">
        <v>1098</v>
      </c>
      <c r="BE758" t="s">
        <v>10964</v>
      </c>
      <c r="BF758" t="str">
        <f>HYPERLINK("http://dx.doi.org/10.1029/2003GC000585","http://dx.doi.org/10.1029/2003GC000585")</f>
        <v>http://dx.doi.org/10.1029/2003GC000585</v>
      </c>
      <c r="BG758" t="s">
        <v>74</v>
      </c>
      <c r="BH758" t="s">
        <v>74</v>
      </c>
      <c r="BI758">
        <v>17</v>
      </c>
      <c r="BJ758" t="s">
        <v>262</v>
      </c>
      <c r="BK758" t="s">
        <v>96</v>
      </c>
      <c r="BL758" t="s">
        <v>262</v>
      </c>
      <c r="BM758" t="s">
        <v>10965</v>
      </c>
      <c r="BN758" t="s">
        <v>74</v>
      </c>
      <c r="BO758" t="s">
        <v>397</v>
      </c>
      <c r="BP758" t="s">
        <v>74</v>
      </c>
      <c r="BQ758" t="s">
        <v>74</v>
      </c>
      <c r="BR758" t="s">
        <v>99</v>
      </c>
      <c r="BS758" t="s">
        <v>10966</v>
      </c>
      <c r="BT758" t="str">
        <f>HYPERLINK("https%3A%2F%2Fwww.webofscience.com%2Fwos%2Fwoscc%2Ffull-record%2FWOS:000187481000001","View Full Record in Web of Science")</f>
        <v>View Full Record in Web of Science</v>
      </c>
    </row>
    <row r="759" spans="1:72" x14ac:dyDescent="0.15">
      <c r="A759" t="s">
        <v>72</v>
      </c>
      <c r="B759" t="s">
        <v>10967</v>
      </c>
      <c r="C759" t="s">
        <v>74</v>
      </c>
      <c r="D759" t="s">
        <v>74</v>
      </c>
      <c r="E759" t="s">
        <v>74</v>
      </c>
      <c r="F759" t="s">
        <v>10967</v>
      </c>
      <c r="G759" t="s">
        <v>74</v>
      </c>
      <c r="H759" t="s">
        <v>74</v>
      </c>
      <c r="I759" t="s">
        <v>10968</v>
      </c>
      <c r="J759" t="s">
        <v>10969</v>
      </c>
      <c r="K759" t="s">
        <v>74</v>
      </c>
      <c r="L759" t="s">
        <v>74</v>
      </c>
      <c r="M759" t="s">
        <v>77</v>
      </c>
      <c r="N759" t="s">
        <v>78</v>
      </c>
      <c r="O759" t="s">
        <v>74</v>
      </c>
      <c r="P759" t="s">
        <v>74</v>
      </c>
      <c r="Q759" t="s">
        <v>74</v>
      </c>
      <c r="R759" t="s">
        <v>74</v>
      </c>
      <c r="S759" t="s">
        <v>74</v>
      </c>
      <c r="T759" t="s">
        <v>74</v>
      </c>
      <c r="U759" t="s">
        <v>74</v>
      </c>
      <c r="V759" t="s">
        <v>10970</v>
      </c>
      <c r="W759" t="s">
        <v>10971</v>
      </c>
      <c r="X759" t="s">
        <v>7731</v>
      </c>
      <c r="Y759" t="s">
        <v>10972</v>
      </c>
      <c r="Z759" t="s">
        <v>74</v>
      </c>
      <c r="AA759" t="s">
        <v>74</v>
      </c>
      <c r="AB759" t="s">
        <v>74</v>
      </c>
      <c r="AC759" t="s">
        <v>74</v>
      </c>
      <c r="AD759" t="s">
        <v>74</v>
      </c>
      <c r="AE759" t="s">
        <v>74</v>
      </c>
      <c r="AF759" t="s">
        <v>74</v>
      </c>
      <c r="AG759">
        <v>4</v>
      </c>
      <c r="AH759">
        <v>1</v>
      </c>
      <c r="AI759">
        <v>1</v>
      </c>
      <c r="AJ759">
        <v>0</v>
      </c>
      <c r="AK759">
        <v>2</v>
      </c>
      <c r="AL759" t="s">
        <v>10973</v>
      </c>
      <c r="AM759" t="s">
        <v>3780</v>
      </c>
      <c r="AN759" t="s">
        <v>10974</v>
      </c>
      <c r="AO759" t="s">
        <v>10975</v>
      </c>
      <c r="AP759" t="s">
        <v>74</v>
      </c>
      <c r="AQ759" t="s">
        <v>74</v>
      </c>
      <c r="AR759" t="s">
        <v>10976</v>
      </c>
      <c r="AS759" t="s">
        <v>10977</v>
      </c>
      <c r="AT759" t="s">
        <v>10978</v>
      </c>
      <c r="AU759">
        <v>2003</v>
      </c>
      <c r="AV759">
        <v>71</v>
      </c>
      <c r="AW759">
        <v>12</v>
      </c>
      <c r="AX759" t="s">
        <v>74</v>
      </c>
      <c r="AY759" t="s">
        <v>74</v>
      </c>
      <c r="AZ759" t="s">
        <v>74</v>
      </c>
      <c r="BA759" t="s">
        <v>74</v>
      </c>
      <c r="BB759">
        <v>1242</v>
      </c>
      <c r="BC759">
        <v>1246</v>
      </c>
      <c r="BD759" t="s">
        <v>74</v>
      </c>
      <c r="BE759" t="s">
        <v>10979</v>
      </c>
      <c r="BF759" t="str">
        <f>HYPERLINK("http://dx.doi.org/10.1119/1.1574041","http://dx.doi.org/10.1119/1.1574041")</f>
        <v>http://dx.doi.org/10.1119/1.1574041</v>
      </c>
      <c r="BG759" t="s">
        <v>74</v>
      </c>
      <c r="BH759" t="s">
        <v>74</v>
      </c>
      <c r="BI759">
        <v>5</v>
      </c>
      <c r="BJ759" t="s">
        <v>10980</v>
      </c>
      <c r="BK759" t="s">
        <v>96</v>
      </c>
      <c r="BL759" t="s">
        <v>10981</v>
      </c>
      <c r="BM759" t="s">
        <v>10982</v>
      </c>
      <c r="BN759" t="s">
        <v>74</v>
      </c>
      <c r="BO759" t="s">
        <v>156</v>
      </c>
      <c r="BP759" t="s">
        <v>74</v>
      </c>
      <c r="BQ759" t="s">
        <v>74</v>
      </c>
      <c r="BR759" t="s">
        <v>99</v>
      </c>
      <c r="BS759" t="s">
        <v>10983</v>
      </c>
      <c r="BT759" t="str">
        <f>HYPERLINK("https%3A%2F%2Fwww.webofscience.com%2Fwos%2Fwoscc%2Ffull-record%2FWOS:000186692300004","View Full Record in Web of Science")</f>
        <v>View Full Record in Web of Science</v>
      </c>
    </row>
    <row r="760" spans="1:72" x14ac:dyDescent="0.15">
      <c r="A760" t="s">
        <v>72</v>
      </c>
      <c r="B760" t="s">
        <v>10984</v>
      </c>
      <c r="C760" t="s">
        <v>74</v>
      </c>
      <c r="D760" t="s">
        <v>74</v>
      </c>
      <c r="E760" t="s">
        <v>74</v>
      </c>
      <c r="F760" t="s">
        <v>10984</v>
      </c>
      <c r="G760" t="s">
        <v>74</v>
      </c>
      <c r="H760" t="s">
        <v>74</v>
      </c>
      <c r="I760" t="s">
        <v>10985</v>
      </c>
      <c r="J760" t="s">
        <v>10986</v>
      </c>
      <c r="K760" t="s">
        <v>74</v>
      </c>
      <c r="L760" t="s">
        <v>74</v>
      </c>
      <c r="M760" t="s">
        <v>77</v>
      </c>
      <c r="N760" t="s">
        <v>78</v>
      </c>
      <c r="O760" t="s">
        <v>74</v>
      </c>
      <c r="P760" t="s">
        <v>74</v>
      </c>
      <c r="Q760" t="s">
        <v>74</v>
      </c>
      <c r="R760" t="s">
        <v>74</v>
      </c>
      <c r="S760" t="s">
        <v>74</v>
      </c>
      <c r="T760" t="s">
        <v>10987</v>
      </c>
      <c r="U760" t="s">
        <v>10988</v>
      </c>
      <c r="V760" t="s">
        <v>10989</v>
      </c>
      <c r="W760" t="s">
        <v>10990</v>
      </c>
      <c r="X760" t="s">
        <v>1966</v>
      </c>
      <c r="Y760" t="s">
        <v>10991</v>
      </c>
      <c r="Z760" t="s">
        <v>74</v>
      </c>
      <c r="AA760" t="s">
        <v>10992</v>
      </c>
      <c r="AB760" t="s">
        <v>10993</v>
      </c>
      <c r="AC760" t="s">
        <v>74</v>
      </c>
      <c r="AD760" t="s">
        <v>74</v>
      </c>
      <c r="AE760" t="s">
        <v>74</v>
      </c>
      <c r="AF760" t="s">
        <v>74</v>
      </c>
      <c r="AG760">
        <v>43</v>
      </c>
      <c r="AH760">
        <v>70</v>
      </c>
      <c r="AI760">
        <v>80</v>
      </c>
      <c r="AJ760">
        <v>1</v>
      </c>
      <c r="AK760">
        <v>27</v>
      </c>
      <c r="AL760" t="s">
        <v>10994</v>
      </c>
      <c r="AM760" t="s">
        <v>490</v>
      </c>
      <c r="AN760" t="s">
        <v>10995</v>
      </c>
      <c r="AO760" t="s">
        <v>10996</v>
      </c>
      <c r="AP760" t="s">
        <v>74</v>
      </c>
      <c r="AQ760" t="s">
        <v>74</v>
      </c>
      <c r="AR760" t="s">
        <v>10997</v>
      </c>
      <c r="AS760" t="s">
        <v>10998</v>
      </c>
      <c r="AT760" t="s">
        <v>10999</v>
      </c>
      <c r="AU760">
        <v>2003</v>
      </c>
      <c r="AV760">
        <v>285</v>
      </c>
      <c r="AW760">
        <v>6</v>
      </c>
      <c r="AX760" t="s">
        <v>74</v>
      </c>
      <c r="AY760" t="s">
        <v>74</v>
      </c>
      <c r="AZ760" t="s">
        <v>74</v>
      </c>
      <c r="BA760" t="s">
        <v>74</v>
      </c>
      <c r="BB760" t="s">
        <v>11000</v>
      </c>
      <c r="BC760" t="s">
        <v>11001</v>
      </c>
      <c r="BD760" t="s">
        <v>74</v>
      </c>
      <c r="BE760" t="s">
        <v>11002</v>
      </c>
      <c r="BF760" t="str">
        <f>HYPERLINK("http://dx.doi.org/10.1152/ajpregu.00111.2003","http://dx.doi.org/10.1152/ajpregu.00111.2003")</f>
        <v>http://dx.doi.org/10.1152/ajpregu.00111.2003</v>
      </c>
      <c r="BG760" t="s">
        <v>74</v>
      </c>
      <c r="BH760" t="s">
        <v>74</v>
      </c>
      <c r="BI760">
        <v>11</v>
      </c>
      <c r="BJ760" t="s">
        <v>5419</v>
      </c>
      <c r="BK760" t="s">
        <v>96</v>
      </c>
      <c r="BL760" t="s">
        <v>5419</v>
      </c>
      <c r="BM760" t="s">
        <v>11003</v>
      </c>
      <c r="BN760">
        <v>12907412</v>
      </c>
      <c r="BO760" t="s">
        <v>479</v>
      </c>
      <c r="BP760" t="s">
        <v>74</v>
      </c>
      <c r="BQ760" t="s">
        <v>74</v>
      </c>
      <c r="BR760" t="s">
        <v>99</v>
      </c>
      <c r="BS760" t="s">
        <v>11004</v>
      </c>
      <c r="BT760" t="str">
        <f>HYPERLINK("https%3A%2F%2Fwww.webofscience.com%2Fwos%2Fwoscc%2Ffull-record%2FWOS:000186547300017","View Full Record in Web of Science")</f>
        <v>View Full Record in Web of Science</v>
      </c>
    </row>
    <row r="761" spans="1:72" x14ac:dyDescent="0.15">
      <c r="A761" t="s">
        <v>72</v>
      </c>
      <c r="B761" t="s">
        <v>11005</v>
      </c>
      <c r="C761" t="s">
        <v>74</v>
      </c>
      <c r="D761" t="s">
        <v>74</v>
      </c>
      <c r="E761" t="s">
        <v>74</v>
      </c>
      <c r="F761" t="s">
        <v>11005</v>
      </c>
      <c r="G761" t="s">
        <v>74</v>
      </c>
      <c r="H761" t="s">
        <v>74</v>
      </c>
      <c r="I761" t="s">
        <v>11006</v>
      </c>
      <c r="J761" t="s">
        <v>11007</v>
      </c>
      <c r="K761" t="s">
        <v>74</v>
      </c>
      <c r="L761" t="s">
        <v>74</v>
      </c>
      <c r="M761" t="s">
        <v>77</v>
      </c>
      <c r="N761" t="s">
        <v>78</v>
      </c>
      <c r="O761" t="s">
        <v>74</v>
      </c>
      <c r="P761" t="s">
        <v>74</v>
      </c>
      <c r="Q761" t="s">
        <v>74</v>
      </c>
      <c r="R761" t="s">
        <v>74</v>
      </c>
      <c r="S761" t="s">
        <v>74</v>
      </c>
      <c r="T761" t="s">
        <v>11008</v>
      </c>
      <c r="U761" t="s">
        <v>11009</v>
      </c>
      <c r="V761" t="s">
        <v>11010</v>
      </c>
      <c r="W761" t="s">
        <v>11011</v>
      </c>
      <c r="X761" t="s">
        <v>11012</v>
      </c>
      <c r="Y761" t="s">
        <v>4407</v>
      </c>
      <c r="Z761" t="s">
        <v>4408</v>
      </c>
      <c r="AA761" t="s">
        <v>11013</v>
      </c>
      <c r="AB761" t="s">
        <v>11014</v>
      </c>
      <c r="AC761" t="s">
        <v>74</v>
      </c>
      <c r="AD761" t="s">
        <v>74</v>
      </c>
      <c r="AE761" t="s">
        <v>74</v>
      </c>
      <c r="AF761" t="s">
        <v>74</v>
      </c>
      <c r="AG761">
        <v>14</v>
      </c>
      <c r="AH761">
        <v>8</v>
      </c>
      <c r="AI761">
        <v>11</v>
      </c>
      <c r="AJ761">
        <v>1</v>
      </c>
      <c r="AK761">
        <v>11</v>
      </c>
      <c r="AL761" t="s">
        <v>11015</v>
      </c>
      <c r="AM761" t="s">
        <v>10208</v>
      </c>
      <c r="AN761" t="s">
        <v>11016</v>
      </c>
      <c r="AO761" t="s">
        <v>11017</v>
      </c>
      <c r="AP761" t="s">
        <v>74</v>
      </c>
      <c r="AQ761" t="s">
        <v>74</v>
      </c>
      <c r="AR761" t="s">
        <v>11018</v>
      </c>
      <c r="AS761" t="s">
        <v>4201</v>
      </c>
      <c r="AT761" t="s">
        <v>10978</v>
      </c>
      <c r="AU761">
        <v>2003</v>
      </c>
      <c r="AV761">
        <v>46</v>
      </c>
      <c r="AW761">
        <v>6</v>
      </c>
      <c r="AX761" t="s">
        <v>74</v>
      </c>
      <c r="AY761" t="s">
        <v>74</v>
      </c>
      <c r="AZ761" t="s">
        <v>74</v>
      </c>
      <c r="BA761" t="s">
        <v>74</v>
      </c>
      <c r="BB761">
        <v>1265</v>
      </c>
      <c r="BC761">
        <v>1270</v>
      </c>
      <c r="BD761" t="s">
        <v>74</v>
      </c>
      <c r="BE761" t="s">
        <v>74</v>
      </c>
      <c r="BF761" t="s">
        <v>74</v>
      </c>
      <c r="BG761" t="s">
        <v>74</v>
      </c>
      <c r="BH761" t="s">
        <v>74</v>
      </c>
      <c r="BI761">
        <v>6</v>
      </c>
      <c r="BJ761" t="s">
        <v>262</v>
      </c>
      <c r="BK761" t="s">
        <v>96</v>
      </c>
      <c r="BL761" t="s">
        <v>262</v>
      </c>
      <c r="BM761" t="s">
        <v>11019</v>
      </c>
      <c r="BN761" t="s">
        <v>74</v>
      </c>
      <c r="BO761" t="s">
        <v>74</v>
      </c>
      <c r="BP761" t="s">
        <v>74</v>
      </c>
      <c r="BQ761" t="s">
        <v>74</v>
      </c>
      <c r="BR761" t="s">
        <v>99</v>
      </c>
      <c r="BS761" t="s">
        <v>11020</v>
      </c>
      <c r="BT761" t="str">
        <f>HYPERLINK("https%3A%2F%2Fwww.webofscience.com%2Fwos%2Fwoscc%2Ffull-record%2FWOS:000221367700006","View Full Record in Web of Science")</f>
        <v>View Full Record in Web of Science</v>
      </c>
    </row>
    <row r="762" spans="1:72" x14ac:dyDescent="0.15">
      <c r="A762" t="s">
        <v>72</v>
      </c>
      <c r="B762" t="s">
        <v>11021</v>
      </c>
      <c r="C762" t="s">
        <v>74</v>
      </c>
      <c r="D762" t="s">
        <v>74</v>
      </c>
      <c r="E762" t="s">
        <v>74</v>
      </c>
      <c r="F762" t="s">
        <v>11021</v>
      </c>
      <c r="G762" t="s">
        <v>74</v>
      </c>
      <c r="H762" t="s">
        <v>74</v>
      </c>
      <c r="I762" t="s">
        <v>11022</v>
      </c>
      <c r="J762" t="s">
        <v>943</v>
      </c>
      <c r="K762" t="s">
        <v>74</v>
      </c>
      <c r="L762" t="s">
        <v>74</v>
      </c>
      <c r="M762" t="s">
        <v>77</v>
      </c>
      <c r="N762" t="s">
        <v>822</v>
      </c>
      <c r="O762" t="s">
        <v>74</v>
      </c>
      <c r="P762" t="s">
        <v>74</v>
      </c>
      <c r="Q762" t="s">
        <v>74</v>
      </c>
      <c r="R762" t="s">
        <v>74</v>
      </c>
      <c r="S762" t="s">
        <v>74</v>
      </c>
      <c r="T762" t="s">
        <v>74</v>
      </c>
      <c r="U762" t="s">
        <v>74</v>
      </c>
      <c r="V762" t="s">
        <v>74</v>
      </c>
      <c r="W762" t="s">
        <v>74</v>
      </c>
      <c r="X762" t="s">
        <v>74</v>
      </c>
      <c r="Y762" t="s">
        <v>74</v>
      </c>
      <c r="Z762" t="s">
        <v>74</v>
      </c>
      <c r="AA762" t="s">
        <v>74</v>
      </c>
      <c r="AB762" t="s">
        <v>11023</v>
      </c>
      <c r="AC762" t="s">
        <v>74</v>
      </c>
      <c r="AD762" t="s">
        <v>74</v>
      </c>
      <c r="AE762" t="s">
        <v>74</v>
      </c>
      <c r="AF762" t="s">
        <v>74</v>
      </c>
      <c r="AG762">
        <v>0</v>
      </c>
      <c r="AH762">
        <v>0</v>
      </c>
      <c r="AI762">
        <v>0</v>
      </c>
      <c r="AJ762">
        <v>0</v>
      </c>
      <c r="AK762">
        <v>1</v>
      </c>
      <c r="AL762" t="s">
        <v>136</v>
      </c>
      <c r="AM762" t="s">
        <v>87</v>
      </c>
      <c r="AN762" t="s">
        <v>163</v>
      </c>
      <c r="AO762" t="s">
        <v>944</v>
      </c>
      <c r="AP762" t="s">
        <v>74</v>
      </c>
      <c r="AQ762" t="s">
        <v>74</v>
      </c>
      <c r="AR762" t="s">
        <v>945</v>
      </c>
      <c r="AS762" t="s">
        <v>946</v>
      </c>
      <c r="AT762" t="s">
        <v>10978</v>
      </c>
      <c r="AU762">
        <v>2003</v>
      </c>
      <c r="AV762">
        <v>15</v>
      </c>
      <c r="AW762">
        <v>4</v>
      </c>
      <c r="AX762" t="s">
        <v>74</v>
      </c>
      <c r="AY762" t="s">
        <v>74</v>
      </c>
      <c r="AZ762" t="s">
        <v>74</v>
      </c>
      <c r="BA762" t="s">
        <v>74</v>
      </c>
      <c r="BB762">
        <v>413</v>
      </c>
      <c r="BC762">
        <v>413</v>
      </c>
      <c r="BD762" t="s">
        <v>74</v>
      </c>
      <c r="BE762" t="s">
        <v>11024</v>
      </c>
      <c r="BF762" t="str">
        <f>HYPERLINK("http://dx.doi.org/10.1017/S0954102003001676","http://dx.doi.org/10.1017/S0954102003001676")</f>
        <v>http://dx.doi.org/10.1017/S0954102003001676</v>
      </c>
      <c r="BG762" t="s">
        <v>74</v>
      </c>
      <c r="BH762" t="s">
        <v>74</v>
      </c>
      <c r="BI762">
        <v>1</v>
      </c>
      <c r="BJ762" t="s">
        <v>948</v>
      </c>
      <c r="BK762" t="s">
        <v>96</v>
      </c>
      <c r="BL762" t="s">
        <v>949</v>
      </c>
      <c r="BM762" t="s">
        <v>11025</v>
      </c>
      <c r="BN762" t="s">
        <v>74</v>
      </c>
      <c r="BO762" t="s">
        <v>541</v>
      </c>
      <c r="BP762" t="s">
        <v>74</v>
      </c>
      <c r="BQ762" t="s">
        <v>74</v>
      </c>
      <c r="BR762" t="s">
        <v>99</v>
      </c>
      <c r="BS762" t="s">
        <v>11026</v>
      </c>
      <c r="BT762" t="str">
        <f>HYPERLINK("https%3A%2F%2Fwww.webofscience.com%2Fwos%2Fwoscc%2Ffull-record%2FWOS:000187366600001","View Full Record in Web of Science")</f>
        <v>View Full Record in Web of Science</v>
      </c>
    </row>
    <row r="763" spans="1:72" x14ac:dyDescent="0.15">
      <c r="A763" t="s">
        <v>72</v>
      </c>
      <c r="B763" t="s">
        <v>11027</v>
      </c>
      <c r="C763" t="s">
        <v>74</v>
      </c>
      <c r="D763" t="s">
        <v>74</v>
      </c>
      <c r="E763" t="s">
        <v>74</v>
      </c>
      <c r="F763" t="s">
        <v>11027</v>
      </c>
      <c r="G763" t="s">
        <v>74</v>
      </c>
      <c r="H763" t="s">
        <v>74</v>
      </c>
      <c r="I763" t="s">
        <v>11028</v>
      </c>
      <c r="J763" t="s">
        <v>943</v>
      </c>
      <c r="K763" t="s">
        <v>74</v>
      </c>
      <c r="L763" t="s">
        <v>74</v>
      </c>
      <c r="M763" t="s">
        <v>77</v>
      </c>
      <c r="N763" t="s">
        <v>78</v>
      </c>
      <c r="O763" t="s">
        <v>74</v>
      </c>
      <c r="P763" t="s">
        <v>74</v>
      </c>
      <c r="Q763" t="s">
        <v>74</v>
      </c>
      <c r="R763" t="s">
        <v>74</v>
      </c>
      <c r="S763" t="s">
        <v>74</v>
      </c>
      <c r="T763" t="s">
        <v>11029</v>
      </c>
      <c r="U763" t="s">
        <v>11030</v>
      </c>
      <c r="V763" t="s">
        <v>11031</v>
      </c>
      <c r="W763" t="s">
        <v>11032</v>
      </c>
      <c r="X763" t="s">
        <v>11033</v>
      </c>
      <c r="Y763" t="s">
        <v>11034</v>
      </c>
      <c r="Z763" t="s">
        <v>74</v>
      </c>
      <c r="AA763" t="s">
        <v>11035</v>
      </c>
      <c r="AB763" t="s">
        <v>11036</v>
      </c>
      <c r="AC763" t="s">
        <v>74</v>
      </c>
      <c r="AD763" t="s">
        <v>74</v>
      </c>
      <c r="AE763" t="s">
        <v>74</v>
      </c>
      <c r="AF763" t="s">
        <v>74</v>
      </c>
      <c r="AG763">
        <v>18</v>
      </c>
      <c r="AH763">
        <v>24</v>
      </c>
      <c r="AI763">
        <v>29</v>
      </c>
      <c r="AJ763">
        <v>0</v>
      </c>
      <c r="AK763">
        <v>9</v>
      </c>
      <c r="AL763" t="s">
        <v>136</v>
      </c>
      <c r="AM763" t="s">
        <v>87</v>
      </c>
      <c r="AN763" t="s">
        <v>163</v>
      </c>
      <c r="AO763" t="s">
        <v>944</v>
      </c>
      <c r="AP763" t="s">
        <v>74</v>
      </c>
      <c r="AQ763" t="s">
        <v>74</v>
      </c>
      <c r="AR763" t="s">
        <v>945</v>
      </c>
      <c r="AS763" t="s">
        <v>946</v>
      </c>
      <c r="AT763" t="s">
        <v>10978</v>
      </c>
      <c r="AU763">
        <v>2003</v>
      </c>
      <c r="AV763">
        <v>15</v>
      </c>
      <c r="AW763">
        <v>4</v>
      </c>
      <c r="AX763" t="s">
        <v>74</v>
      </c>
      <c r="AY763" t="s">
        <v>74</v>
      </c>
      <c r="AZ763" t="s">
        <v>74</v>
      </c>
      <c r="BA763" t="s">
        <v>74</v>
      </c>
      <c r="BB763">
        <v>415</v>
      </c>
      <c r="BC763">
        <v>424</v>
      </c>
      <c r="BD763" t="s">
        <v>74</v>
      </c>
      <c r="BE763" t="s">
        <v>11037</v>
      </c>
      <c r="BF763" t="str">
        <f>HYPERLINK("http://dx.doi.org/10.1017/S0954102003001512","http://dx.doi.org/10.1017/S0954102003001512")</f>
        <v>http://dx.doi.org/10.1017/S0954102003001512</v>
      </c>
      <c r="BG763" t="s">
        <v>74</v>
      </c>
      <c r="BH763" t="s">
        <v>74</v>
      </c>
      <c r="BI763">
        <v>10</v>
      </c>
      <c r="BJ763" t="s">
        <v>948</v>
      </c>
      <c r="BK763" t="s">
        <v>96</v>
      </c>
      <c r="BL763" t="s">
        <v>949</v>
      </c>
      <c r="BM763" t="s">
        <v>11025</v>
      </c>
      <c r="BN763" t="s">
        <v>74</v>
      </c>
      <c r="BO763" t="s">
        <v>188</v>
      </c>
      <c r="BP763" t="s">
        <v>74</v>
      </c>
      <c r="BQ763" t="s">
        <v>74</v>
      </c>
      <c r="BR763" t="s">
        <v>99</v>
      </c>
      <c r="BS763" t="s">
        <v>11038</v>
      </c>
      <c r="BT763" t="str">
        <f>HYPERLINK("https%3A%2F%2Fwww.webofscience.com%2Fwos%2Fwoscc%2Ffull-record%2FWOS:000187366600002","View Full Record in Web of Science")</f>
        <v>View Full Record in Web of Science</v>
      </c>
    </row>
    <row r="764" spans="1:72" x14ac:dyDescent="0.15">
      <c r="A764" t="s">
        <v>72</v>
      </c>
      <c r="B764" t="s">
        <v>11039</v>
      </c>
      <c r="C764" t="s">
        <v>74</v>
      </c>
      <c r="D764" t="s">
        <v>74</v>
      </c>
      <c r="E764" t="s">
        <v>74</v>
      </c>
      <c r="F764" t="s">
        <v>11039</v>
      </c>
      <c r="G764" t="s">
        <v>74</v>
      </c>
      <c r="H764" t="s">
        <v>74</v>
      </c>
      <c r="I764" t="s">
        <v>11040</v>
      </c>
      <c r="J764" t="s">
        <v>943</v>
      </c>
      <c r="K764" t="s">
        <v>74</v>
      </c>
      <c r="L764" t="s">
        <v>74</v>
      </c>
      <c r="M764" t="s">
        <v>77</v>
      </c>
      <c r="N764" t="s">
        <v>78</v>
      </c>
      <c r="O764" t="s">
        <v>74</v>
      </c>
      <c r="P764" t="s">
        <v>74</v>
      </c>
      <c r="Q764" t="s">
        <v>74</v>
      </c>
      <c r="R764" t="s">
        <v>74</v>
      </c>
      <c r="S764" t="s">
        <v>74</v>
      </c>
      <c r="T764" t="s">
        <v>11041</v>
      </c>
      <c r="U764" t="s">
        <v>11042</v>
      </c>
      <c r="V764" t="s">
        <v>11043</v>
      </c>
      <c r="W764" t="s">
        <v>11044</v>
      </c>
      <c r="X764" t="s">
        <v>11045</v>
      </c>
      <c r="Y764" t="s">
        <v>11046</v>
      </c>
      <c r="Z764" t="s">
        <v>74</v>
      </c>
      <c r="AA764" t="s">
        <v>11047</v>
      </c>
      <c r="AB764" t="s">
        <v>11048</v>
      </c>
      <c r="AC764" t="s">
        <v>74</v>
      </c>
      <c r="AD764" t="s">
        <v>74</v>
      </c>
      <c r="AE764" t="s">
        <v>74</v>
      </c>
      <c r="AF764" t="s">
        <v>74</v>
      </c>
      <c r="AG764">
        <v>24</v>
      </c>
      <c r="AH764">
        <v>14</v>
      </c>
      <c r="AI764">
        <v>15</v>
      </c>
      <c r="AJ764">
        <v>0</v>
      </c>
      <c r="AK764">
        <v>20</v>
      </c>
      <c r="AL764" t="s">
        <v>136</v>
      </c>
      <c r="AM764" t="s">
        <v>87</v>
      </c>
      <c r="AN764" t="s">
        <v>163</v>
      </c>
      <c r="AO764" t="s">
        <v>944</v>
      </c>
      <c r="AP764" t="s">
        <v>74</v>
      </c>
      <c r="AQ764" t="s">
        <v>74</v>
      </c>
      <c r="AR764" t="s">
        <v>945</v>
      </c>
      <c r="AS764" t="s">
        <v>946</v>
      </c>
      <c r="AT764" t="s">
        <v>10978</v>
      </c>
      <c r="AU764">
        <v>2003</v>
      </c>
      <c r="AV764">
        <v>15</v>
      </c>
      <c r="AW764">
        <v>4</v>
      </c>
      <c r="AX764" t="s">
        <v>74</v>
      </c>
      <c r="AY764" t="s">
        <v>74</v>
      </c>
      <c r="AZ764" t="s">
        <v>74</v>
      </c>
      <c r="BA764" t="s">
        <v>74</v>
      </c>
      <c r="BB764">
        <v>425</v>
      </c>
      <c r="BC764">
        <v>432</v>
      </c>
      <c r="BD764" t="s">
        <v>74</v>
      </c>
      <c r="BE764" t="s">
        <v>11049</v>
      </c>
      <c r="BF764" t="str">
        <f>HYPERLINK("http://dx.doi.org/10.1017/S0954102003001524","http://dx.doi.org/10.1017/S0954102003001524")</f>
        <v>http://dx.doi.org/10.1017/S0954102003001524</v>
      </c>
      <c r="BG764" t="s">
        <v>74</v>
      </c>
      <c r="BH764" t="s">
        <v>74</v>
      </c>
      <c r="BI764">
        <v>8</v>
      </c>
      <c r="BJ764" t="s">
        <v>948</v>
      </c>
      <c r="BK764" t="s">
        <v>96</v>
      </c>
      <c r="BL764" t="s">
        <v>949</v>
      </c>
      <c r="BM764" t="s">
        <v>11025</v>
      </c>
      <c r="BN764" t="s">
        <v>74</v>
      </c>
      <c r="BO764" t="s">
        <v>74</v>
      </c>
      <c r="BP764" t="s">
        <v>74</v>
      </c>
      <c r="BQ764" t="s">
        <v>74</v>
      </c>
      <c r="BR764" t="s">
        <v>99</v>
      </c>
      <c r="BS764" t="s">
        <v>11050</v>
      </c>
      <c r="BT764" t="str">
        <f>HYPERLINK("https%3A%2F%2Fwww.webofscience.com%2Fwos%2Fwoscc%2Ffull-record%2FWOS:000187366600003","View Full Record in Web of Science")</f>
        <v>View Full Record in Web of Science</v>
      </c>
    </row>
    <row r="765" spans="1:72" x14ac:dyDescent="0.15">
      <c r="A765" t="s">
        <v>72</v>
      </c>
      <c r="B765" t="s">
        <v>3213</v>
      </c>
      <c r="C765" t="s">
        <v>74</v>
      </c>
      <c r="D765" t="s">
        <v>74</v>
      </c>
      <c r="E765" t="s">
        <v>74</v>
      </c>
      <c r="F765" t="s">
        <v>3213</v>
      </c>
      <c r="G765" t="s">
        <v>74</v>
      </c>
      <c r="H765" t="s">
        <v>74</v>
      </c>
      <c r="I765" t="s">
        <v>11051</v>
      </c>
      <c r="J765" t="s">
        <v>943</v>
      </c>
      <c r="K765" t="s">
        <v>74</v>
      </c>
      <c r="L765" t="s">
        <v>74</v>
      </c>
      <c r="M765" t="s">
        <v>77</v>
      </c>
      <c r="N765" t="s">
        <v>78</v>
      </c>
      <c r="O765" t="s">
        <v>74</v>
      </c>
      <c r="P765" t="s">
        <v>74</v>
      </c>
      <c r="Q765" t="s">
        <v>74</v>
      </c>
      <c r="R765" t="s">
        <v>74</v>
      </c>
      <c r="S765" t="s">
        <v>74</v>
      </c>
      <c r="T765" t="s">
        <v>11052</v>
      </c>
      <c r="U765" t="s">
        <v>11053</v>
      </c>
      <c r="V765" t="s">
        <v>11054</v>
      </c>
      <c r="W765" t="s">
        <v>11055</v>
      </c>
      <c r="X765" t="s">
        <v>3218</v>
      </c>
      <c r="Y765" t="s">
        <v>74</v>
      </c>
      <c r="Z765" t="s">
        <v>3220</v>
      </c>
      <c r="AA765" t="s">
        <v>964</v>
      </c>
      <c r="AB765" t="s">
        <v>74</v>
      </c>
      <c r="AC765" t="s">
        <v>74</v>
      </c>
      <c r="AD765" t="s">
        <v>74</v>
      </c>
      <c r="AE765" t="s">
        <v>74</v>
      </c>
      <c r="AF765" t="s">
        <v>74</v>
      </c>
      <c r="AG765">
        <v>19</v>
      </c>
      <c r="AH765">
        <v>24</v>
      </c>
      <c r="AI765">
        <v>25</v>
      </c>
      <c r="AJ765">
        <v>0</v>
      </c>
      <c r="AK765">
        <v>4</v>
      </c>
      <c r="AL765" t="s">
        <v>136</v>
      </c>
      <c r="AM765" t="s">
        <v>87</v>
      </c>
      <c r="AN765" t="s">
        <v>137</v>
      </c>
      <c r="AO765" t="s">
        <v>944</v>
      </c>
      <c r="AP765" t="s">
        <v>1000</v>
      </c>
      <c r="AQ765" t="s">
        <v>74</v>
      </c>
      <c r="AR765" t="s">
        <v>945</v>
      </c>
      <c r="AS765" t="s">
        <v>946</v>
      </c>
      <c r="AT765" t="s">
        <v>10978</v>
      </c>
      <c r="AU765">
        <v>2003</v>
      </c>
      <c r="AV765">
        <v>15</v>
      </c>
      <c r="AW765">
        <v>4</v>
      </c>
      <c r="AX765" t="s">
        <v>74</v>
      </c>
      <c r="AY765" t="s">
        <v>74</v>
      </c>
      <c r="AZ765" t="s">
        <v>74</v>
      </c>
      <c r="BA765" t="s">
        <v>74</v>
      </c>
      <c r="BB765">
        <v>433</v>
      </c>
      <c r="BC765">
        <v>438</v>
      </c>
      <c r="BD765" t="s">
        <v>74</v>
      </c>
      <c r="BE765" t="s">
        <v>11056</v>
      </c>
      <c r="BF765" t="str">
        <f>HYPERLINK("http://dx.doi.org/10.1017/S0954102003001536","http://dx.doi.org/10.1017/S0954102003001536")</f>
        <v>http://dx.doi.org/10.1017/S0954102003001536</v>
      </c>
      <c r="BG765" t="s">
        <v>74</v>
      </c>
      <c r="BH765" t="s">
        <v>74</v>
      </c>
      <c r="BI765">
        <v>6</v>
      </c>
      <c r="BJ765" t="s">
        <v>948</v>
      </c>
      <c r="BK765" t="s">
        <v>96</v>
      </c>
      <c r="BL765" t="s">
        <v>949</v>
      </c>
      <c r="BM765" t="s">
        <v>11025</v>
      </c>
      <c r="BN765" t="s">
        <v>74</v>
      </c>
      <c r="BO765" t="s">
        <v>74</v>
      </c>
      <c r="BP765" t="s">
        <v>74</v>
      </c>
      <c r="BQ765" t="s">
        <v>74</v>
      </c>
      <c r="BR765" t="s">
        <v>99</v>
      </c>
      <c r="BS765" t="s">
        <v>11057</v>
      </c>
      <c r="BT765" t="str">
        <f>HYPERLINK("https%3A%2F%2Fwww.webofscience.com%2Fwos%2Fwoscc%2Ffull-record%2FWOS:000187366600004","View Full Record in Web of Science")</f>
        <v>View Full Record in Web of Science</v>
      </c>
    </row>
    <row r="766" spans="1:72" x14ac:dyDescent="0.15">
      <c r="A766" t="s">
        <v>72</v>
      </c>
      <c r="B766" t="s">
        <v>11058</v>
      </c>
      <c r="C766" t="s">
        <v>74</v>
      </c>
      <c r="D766" t="s">
        <v>74</v>
      </c>
      <c r="E766" t="s">
        <v>74</v>
      </c>
      <c r="F766" t="s">
        <v>11058</v>
      </c>
      <c r="G766" t="s">
        <v>74</v>
      </c>
      <c r="H766" t="s">
        <v>74</v>
      </c>
      <c r="I766" t="s">
        <v>11059</v>
      </c>
      <c r="J766" t="s">
        <v>943</v>
      </c>
      <c r="K766" t="s">
        <v>74</v>
      </c>
      <c r="L766" t="s">
        <v>74</v>
      </c>
      <c r="M766" t="s">
        <v>77</v>
      </c>
      <c r="N766" t="s">
        <v>78</v>
      </c>
      <c r="O766" t="s">
        <v>74</v>
      </c>
      <c r="P766" t="s">
        <v>74</v>
      </c>
      <c r="Q766" t="s">
        <v>74</v>
      </c>
      <c r="R766" t="s">
        <v>74</v>
      </c>
      <c r="S766" t="s">
        <v>74</v>
      </c>
      <c r="T766" t="s">
        <v>11060</v>
      </c>
      <c r="U766" t="s">
        <v>11061</v>
      </c>
      <c r="V766" t="s">
        <v>11062</v>
      </c>
      <c r="W766" t="s">
        <v>11063</v>
      </c>
      <c r="X766" t="s">
        <v>11064</v>
      </c>
      <c r="Y766" t="s">
        <v>11065</v>
      </c>
      <c r="Z766" t="s">
        <v>74</v>
      </c>
      <c r="AA766" t="s">
        <v>11066</v>
      </c>
      <c r="AB766" t="s">
        <v>11067</v>
      </c>
      <c r="AC766" t="s">
        <v>74</v>
      </c>
      <c r="AD766" t="s">
        <v>74</v>
      </c>
      <c r="AE766" t="s">
        <v>74</v>
      </c>
      <c r="AF766" t="s">
        <v>74</v>
      </c>
      <c r="AG766">
        <v>26</v>
      </c>
      <c r="AH766">
        <v>34</v>
      </c>
      <c r="AI766">
        <v>41</v>
      </c>
      <c r="AJ766">
        <v>0</v>
      </c>
      <c r="AK766">
        <v>19</v>
      </c>
      <c r="AL766" t="s">
        <v>136</v>
      </c>
      <c r="AM766" t="s">
        <v>87</v>
      </c>
      <c r="AN766" t="s">
        <v>163</v>
      </c>
      <c r="AO766" t="s">
        <v>944</v>
      </c>
      <c r="AP766" t="s">
        <v>74</v>
      </c>
      <c r="AQ766" t="s">
        <v>74</v>
      </c>
      <c r="AR766" t="s">
        <v>945</v>
      </c>
      <c r="AS766" t="s">
        <v>946</v>
      </c>
      <c r="AT766" t="s">
        <v>10978</v>
      </c>
      <c r="AU766">
        <v>2003</v>
      </c>
      <c r="AV766">
        <v>15</v>
      </c>
      <c r="AW766">
        <v>4</v>
      </c>
      <c r="AX766" t="s">
        <v>74</v>
      </c>
      <c r="AY766" t="s">
        <v>74</v>
      </c>
      <c r="AZ766" t="s">
        <v>74</v>
      </c>
      <c r="BA766" t="s">
        <v>74</v>
      </c>
      <c r="BB766">
        <v>439</v>
      </c>
      <c r="BC766">
        <v>448</v>
      </c>
      <c r="BD766" t="s">
        <v>74</v>
      </c>
      <c r="BE766" t="s">
        <v>11068</v>
      </c>
      <c r="BF766" t="str">
        <f>HYPERLINK("http://dx.doi.org/10.1017/S0954102003001548","http://dx.doi.org/10.1017/S0954102003001548")</f>
        <v>http://dx.doi.org/10.1017/S0954102003001548</v>
      </c>
      <c r="BG766" t="s">
        <v>74</v>
      </c>
      <c r="BH766" t="s">
        <v>74</v>
      </c>
      <c r="BI766">
        <v>10</v>
      </c>
      <c r="BJ766" t="s">
        <v>948</v>
      </c>
      <c r="BK766" t="s">
        <v>96</v>
      </c>
      <c r="BL766" t="s">
        <v>949</v>
      </c>
      <c r="BM766" t="s">
        <v>11025</v>
      </c>
      <c r="BN766" t="s">
        <v>74</v>
      </c>
      <c r="BO766" t="s">
        <v>74</v>
      </c>
      <c r="BP766" t="s">
        <v>74</v>
      </c>
      <c r="BQ766" t="s">
        <v>74</v>
      </c>
      <c r="BR766" t="s">
        <v>99</v>
      </c>
      <c r="BS766" t="s">
        <v>11069</v>
      </c>
      <c r="BT766" t="str">
        <f>HYPERLINK("https%3A%2F%2Fwww.webofscience.com%2Fwos%2Fwoscc%2Ffull-record%2FWOS:000187366600005","View Full Record in Web of Science")</f>
        <v>View Full Record in Web of Science</v>
      </c>
    </row>
    <row r="767" spans="1:72" x14ac:dyDescent="0.15">
      <c r="A767" t="s">
        <v>72</v>
      </c>
      <c r="B767" t="s">
        <v>11070</v>
      </c>
      <c r="C767" t="s">
        <v>74</v>
      </c>
      <c r="D767" t="s">
        <v>74</v>
      </c>
      <c r="E767" t="s">
        <v>74</v>
      </c>
      <c r="F767" t="s">
        <v>11070</v>
      </c>
      <c r="G767" t="s">
        <v>74</v>
      </c>
      <c r="H767" t="s">
        <v>74</v>
      </c>
      <c r="I767" t="s">
        <v>11071</v>
      </c>
      <c r="J767" t="s">
        <v>943</v>
      </c>
      <c r="K767" t="s">
        <v>74</v>
      </c>
      <c r="L767" t="s">
        <v>74</v>
      </c>
      <c r="M767" t="s">
        <v>77</v>
      </c>
      <c r="N767" t="s">
        <v>78</v>
      </c>
      <c r="O767" t="s">
        <v>74</v>
      </c>
      <c r="P767" t="s">
        <v>74</v>
      </c>
      <c r="Q767" t="s">
        <v>74</v>
      </c>
      <c r="R767" t="s">
        <v>74</v>
      </c>
      <c r="S767" t="s">
        <v>74</v>
      </c>
      <c r="T767" t="s">
        <v>11072</v>
      </c>
      <c r="U767" t="s">
        <v>11073</v>
      </c>
      <c r="V767" t="s">
        <v>11074</v>
      </c>
      <c r="W767" t="s">
        <v>4438</v>
      </c>
      <c r="X767" t="s">
        <v>1966</v>
      </c>
      <c r="Y767" t="s">
        <v>11075</v>
      </c>
      <c r="Z767" t="s">
        <v>11076</v>
      </c>
      <c r="AA767" t="s">
        <v>74</v>
      </c>
      <c r="AB767" t="s">
        <v>11077</v>
      </c>
      <c r="AC767" t="s">
        <v>74</v>
      </c>
      <c r="AD767" t="s">
        <v>74</v>
      </c>
      <c r="AE767" t="s">
        <v>74</v>
      </c>
      <c r="AF767" t="s">
        <v>74</v>
      </c>
      <c r="AG767">
        <v>48</v>
      </c>
      <c r="AH767">
        <v>5</v>
      </c>
      <c r="AI767">
        <v>7</v>
      </c>
      <c r="AJ767">
        <v>0</v>
      </c>
      <c r="AK767">
        <v>7</v>
      </c>
      <c r="AL767" t="s">
        <v>136</v>
      </c>
      <c r="AM767" t="s">
        <v>87</v>
      </c>
      <c r="AN767" t="s">
        <v>137</v>
      </c>
      <c r="AO767" t="s">
        <v>944</v>
      </c>
      <c r="AP767" t="s">
        <v>1000</v>
      </c>
      <c r="AQ767" t="s">
        <v>74</v>
      </c>
      <c r="AR767" t="s">
        <v>945</v>
      </c>
      <c r="AS767" t="s">
        <v>946</v>
      </c>
      <c r="AT767" t="s">
        <v>10978</v>
      </c>
      <c r="AU767">
        <v>2003</v>
      </c>
      <c r="AV767">
        <v>15</v>
      </c>
      <c r="AW767">
        <v>4</v>
      </c>
      <c r="AX767" t="s">
        <v>74</v>
      </c>
      <c r="AY767" t="s">
        <v>74</v>
      </c>
      <c r="AZ767" t="s">
        <v>74</v>
      </c>
      <c r="BA767" t="s">
        <v>74</v>
      </c>
      <c r="BB767">
        <v>449</v>
      </c>
      <c r="BC767">
        <v>457</v>
      </c>
      <c r="BD767" t="s">
        <v>74</v>
      </c>
      <c r="BE767" t="s">
        <v>11078</v>
      </c>
      <c r="BF767" t="str">
        <f>HYPERLINK("http://dx.doi.org/10.1017/S095410200300155X","http://dx.doi.org/10.1017/S095410200300155X")</f>
        <v>http://dx.doi.org/10.1017/S095410200300155X</v>
      </c>
      <c r="BG767" t="s">
        <v>74</v>
      </c>
      <c r="BH767" t="s">
        <v>74</v>
      </c>
      <c r="BI767">
        <v>9</v>
      </c>
      <c r="BJ767" t="s">
        <v>948</v>
      </c>
      <c r="BK767" t="s">
        <v>96</v>
      </c>
      <c r="BL767" t="s">
        <v>949</v>
      </c>
      <c r="BM767" t="s">
        <v>11025</v>
      </c>
      <c r="BN767" t="s">
        <v>74</v>
      </c>
      <c r="BO767" t="s">
        <v>74</v>
      </c>
      <c r="BP767" t="s">
        <v>74</v>
      </c>
      <c r="BQ767" t="s">
        <v>74</v>
      </c>
      <c r="BR767" t="s">
        <v>99</v>
      </c>
      <c r="BS767" t="s">
        <v>11079</v>
      </c>
      <c r="BT767" t="str">
        <f>HYPERLINK("https%3A%2F%2Fwww.webofscience.com%2Fwos%2Fwoscc%2Ffull-record%2FWOS:000187366600006","View Full Record in Web of Science")</f>
        <v>View Full Record in Web of Science</v>
      </c>
    </row>
    <row r="768" spans="1:72" x14ac:dyDescent="0.15">
      <c r="A768" t="s">
        <v>72</v>
      </c>
      <c r="B768" t="s">
        <v>11080</v>
      </c>
      <c r="C768" t="s">
        <v>74</v>
      </c>
      <c r="D768" t="s">
        <v>74</v>
      </c>
      <c r="E768" t="s">
        <v>74</v>
      </c>
      <c r="F768" t="s">
        <v>11080</v>
      </c>
      <c r="G768" t="s">
        <v>74</v>
      </c>
      <c r="H768" t="s">
        <v>74</v>
      </c>
      <c r="I768" t="s">
        <v>11081</v>
      </c>
      <c r="J768" t="s">
        <v>943</v>
      </c>
      <c r="K768" t="s">
        <v>74</v>
      </c>
      <c r="L768" t="s">
        <v>74</v>
      </c>
      <c r="M768" t="s">
        <v>77</v>
      </c>
      <c r="N768" t="s">
        <v>78</v>
      </c>
      <c r="O768" t="s">
        <v>74</v>
      </c>
      <c r="P768" t="s">
        <v>74</v>
      </c>
      <c r="Q768" t="s">
        <v>74</v>
      </c>
      <c r="R768" t="s">
        <v>74</v>
      </c>
      <c r="S768" t="s">
        <v>74</v>
      </c>
      <c r="T768" t="s">
        <v>11082</v>
      </c>
      <c r="U768" t="s">
        <v>11083</v>
      </c>
      <c r="V768" t="s">
        <v>11084</v>
      </c>
      <c r="W768" t="s">
        <v>11085</v>
      </c>
      <c r="X768" t="s">
        <v>11086</v>
      </c>
      <c r="Y768" t="s">
        <v>11087</v>
      </c>
      <c r="Z768" t="s">
        <v>74</v>
      </c>
      <c r="AA768" t="s">
        <v>11088</v>
      </c>
      <c r="AB768" t="s">
        <v>11089</v>
      </c>
      <c r="AC768" t="s">
        <v>74</v>
      </c>
      <c r="AD768" t="s">
        <v>74</v>
      </c>
      <c r="AE768" t="s">
        <v>74</v>
      </c>
      <c r="AF768" t="s">
        <v>74</v>
      </c>
      <c r="AG768">
        <v>37</v>
      </c>
      <c r="AH768">
        <v>11</v>
      </c>
      <c r="AI768">
        <v>11</v>
      </c>
      <c r="AJ768">
        <v>1</v>
      </c>
      <c r="AK768">
        <v>8</v>
      </c>
      <c r="AL768" t="s">
        <v>136</v>
      </c>
      <c r="AM768" t="s">
        <v>87</v>
      </c>
      <c r="AN768" t="s">
        <v>163</v>
      </c>
      <c r="AO768" t="s">
        <v>944</v>
      </c>
      <c r="AP768" t="s">
        <v>74</v>
      </c>
      <c r="AQ768" t="s">
        <v>74</v>
      </c>
      <c r="AR768" t="s">
        <v>945</v>
      </c>
      <c r="AS768" t="s">
        <v>946</v>
      </c>
      <c r="AT768" t="s">
        <v>10978</v>
      </c>
      <c r="AU768">
        <v>2003</v>
      </c>
      <c r="AV768">
        <v>15</v>
      </c>
      <c r="AW768">
        <v>4</v>
      </c>
      <c r="AX768" t="s">
        <v>74</v>
      </c>
      <c r="AY768" t="s">
        <v>74</v>
      </c>
      <c r="AZ768" t="s">
        <v>74</v>
      </c>
      <c r="BA768" t="s">
        <v>74</v>
      </c>
      <c r="BB768">
        <v>458</v>
      </c>
      <c r="BC768">
        <v>462</v>
      </c>
      <c r="BD768" t="s">
        <v>74</v>
      </c>
      <c r="BE768" t="s">
        <v>11090</v>
      </c>
      <c r="BF768" t="str">
        <f>HYPERLINK("http://dx.doi.org/10.1017/S0954102003001561","http://dx.doi.org/10.1017/S0954102003001561")</f>
        <v>http://dx.doi.org/10.1017/S0954102003001561</v>
      </c>
      <c r="BG768" t="s">
        <v>74</v>
      </c>
      <c r="BH768" t="s">
        <v>74</v>
      </c>
      <c r="BI768">
        <v>5</v>
      </c>
      <c r="BJ768" t="s">
        <v>948</v>
      </c>
      <c r="BK768" t="s">
        <v>96</v>
      </c>
      <c r="BL768" t="s">
        <v>949</v>
      </c>
      <c r="BM768" t="s">
        <v>11025</v>
      </c>
      <c r="BN768" t="s">
        <v>74</v>
      </c>
      <c r="BO768" t="s">
        <v>74</v>
      </c>
      <c r="BP768" t="s">
        <v>74</v>
      </c>
      <c r="BQ768" t="s">
        <v>74</v>
      </c>
      <c r="BR768" t="s">
        <v>99</v>
      </c>
      <c r="BS768" t="s">
        <v>11091</v>
      </c>
      <c r="BT768" t="str">
        <f>HYPERLINK("https%3A%2F%2Fwww.webofscience.com%2Fwos%2Fwoscc%2Ffull-record%2FWOS:000187366600007","View Full Record in Web of Science")</f>
        <v>View Full Record in Web of Science</v>
      </c>
    </row>
    <row r="769" spans="1:72" x14ac:dyDescent="0.15">
      <c r="A769" t="s">
        <v>72</v>
      </c>
      <c r="B769" t="s">
        <v>11092</v>
      </c>
      <c r="C769" t="s">
        <v>74</v>
      </c>
      <c r="D769" t="s">
        <v>74</v>
      </c>
      <c r="E769" t="s">
        <v>74</v>
      </c>
      <c r="F769" t="s">
        <v>11092</v>
      </c>
      <c r="G769" t="s">
        <v>74</v>
      </c>
      <c r="H769" t="s">
        <v>74</v>
      </c>
      <c r="I769" t="s">
        <v>11093</v>
      </c>
      <c r="J769" t="s">
        <v>943</v>
      </c>
      <c r="K769" t="s">
        <v>74</v>
      </c>
      <c r="L769" t="s">
        <v>74</v>
      </c>
      <c r="M769" t="s">
        <v>77</v>
      </c>
      <c r="N769" t="s">
        <v>78</v>
      </c>
      <c r="O769" t="s">
        <v>74</v>
      </c>
      <c r="P769" t="s">
        <v>74</v>
      </c>
      <c r="Q769" t="s">
        <v>74</v>
      </c>
      <c r="R769" t="s">
        <v>74</v>
      </c>
      <c r="S769" t="s">
        <v>74</v>
      </c>
      <c r="T769" t="s">
        <v>11094</v>
      </c>
      <c r="U769" t="s">
        <v>11095</v>
      </c>
      <c r="V769" t="s">
        <v>11096</v>
      </c>
      <c r="W769" t="s">
        <v>11097</v>
      </c>
      <c r="X769" t="s">
        <v>11098</v>
      </c>
      <c r="Y769" t="s">
        <v>11099</v>
      </c>
      <c r="Z769" t="s">
        <v>74</v>
      </c>
      <c r="AA769" t="s">
        <v>74</v>
      </c>
      <c r="AB769" t="s">
        <v>11100</v>
      </c>
      <c r="AC769" t="s">
        <v>74</v>
      </c>
      <c r="AD769" t="s">
        <v>74</v>
      </c>
      <c r="AE769" t="s">
        <v>74</v>
      </c>
      <c r="AF769" t="s">
        <v>74</v>
      </c>
      <c r="AG769">
        <v>50</v>
      </c>
      <c r="AH769">
        <v>28</v>
      </c>
      <c r="AI769">
        <v>32</v>
      </c>
      <c r="AJ769">
        <v>0</v>
      </c>
      <c r="AK769">
        <v>11</v>
      </c>
      <c r="AL769" t="s">
        <v>136</v>
      </c>
      <c r="AM769" t="s">
        <v>87</v>
      </c>
      <c r="AN769" t="s">
        <v>163</v>
      </c>
      <c r="AO769" t="s">
        <v>944</v>
      </c>
      <c r="AP769" t="s">
        <v>74</v>
      </c>
      <c r="AQ769" t="s">
        <v>74</v>
      </c>
      <c r="AR769" t="s">
        <v>945</v>
      </c>
      <c r="AS769" t="s">
        <v>946</v>
      </c>
      <c r="AT769" t="s">
        <v>10978</v>
      </c>
      <c r="AU769">
        <v>2003</v>
      </c>
      <c r="AV769">
        <v>15</v>
      </c>
      <c r="AW769">
        <v>4</v>
      </c>
      <c r="AX769" t="s">
        <v>74</v>
      </c>
      <c r="AY769" t="s">
        <v>74</v>
      </c>
      <c r="AZ769" t="s">
        <v>74</v>
      </c>
      <c r="BA769" t="s">
        <v>74</v>
      </c>
      <c r="BB769">
        <v>463</v>
      </c>
      <c r="BC769">
        <v>475</v>
      </c>
      <c r="BD769" t="s">
        <v>74</v>
      </c>
      <c r="BE769" t="s">
        <v>11101</v>
      </c>
      <c r="BF769" t="str">
        <f>HYPERLINK("http://dx.doi.org/10.1017/S0954102003001573","http://dx.doi.org/10.1017/S0954102003001573")</f>
        <v>http://dx.doi.org/10.1017/S0954102003001573</v>
      </c>
      <c r="BG769" t="s">
        <v>74</v>
      </c>
      <c r="BH769" t="s">
        <v>74</v>
      </c>
      <c r="BI769">
        <v>13</v>
      </c>
      <c r="BJ769" t="s">
        <v>948</v>
      </c>
      <c r="BK769" t="s">
        <v>96</v>
      </c>
      <c r="BL769" t="s">
        <v>949</v>
      </c>
      <c r="BM769" t="s">
        <v>11025</v>
      </c>
      <c r="BN769" t="s">
        <v>74</v>
      </c>
      <c r="BO769" t="s">
        <v>74</v>
      </c>
      <c r="BP769" t="s">
        <v>74</v>
      </c>
      <c r="BQ769" t="s">
        <v>74</v>
      </c>
      <c r="BR769" t="s">
        <v>99</v>
      </c>
      <c r="BS769" t="s">
        <v>11102</v>
      </c>
      <c r="BT769" t="str">
        <f>HYPERLINK("https%3A%2F%2Fwww.webofscience.com%2Fwos%2Fwoscc%2Ffull-record%2FWOS:000187366600008","View Full Record in Web of Science")</f>
        <v>View Full Record in Web of Science</v>
      </c>
    </row>
    <row r="770" spans="1:72" x14ac:dyDescent="0.15">
      <c r="A770" t="s">
        <v>72</v>
      </c>
      <c r="B770" t="s">
        <v>11103</v>
      </c>
      <c r="C770" t="s">
        <v>74</v>
      </c>
      <c r="D770" t="s">
        <v>74</v>
      </c>
      <c r="E770" t="s">
        <v>74</v>
      </c>
      <c r="F770" t="s">
        <v>11103</v>
      </c>
      <c r="G770" t="s">
        <v>74</v>
      </c>
      <c r="H770" t="s">
        <v>74</v>
      </c>
      <c r="I770" t="s">
        <v>11104</v>
      </c>
      <c r="J770" t="s">
        <v>943</v>
      </c>
      <c r="K770" t="s">
        <v>74</v>
      </c>
      <c r="L770" t="s">
        <v>74</v>
      </c>
      <c r="M770" t="s">
        <v>77</v>
      </c>
      <c r="N770" t="s">
        <v>78</v>
      </c>
      <c r="O770" t="s">
        <v>74</v>
      </c>
      <c r="P770" t="s">
        <v>74</v>
      </c>
      <c r="Q770" t="s">
        <v>74</v>
      </c>
      <c r="R770" t="s">
        <v>74</v>
      </c>
      <c r="S770" t="s">
        <v>74</v>
      </c>
      <c r="T770" t="s">
        <v>11105</v>
      </c>
      <c r="U770" t="s">
        <v>11106</v>
      </c>
      <c r="V770" t="s">
        <v>11107</v>
      </c>
      <c r="W770" t="s">
        <v>11108</v>
      </c>
      <c r="X770" t="s">
        <v>11109</v>
      </c>
      <c r="Y770" t="s">
        <v>11110</v>
      </c>
      <c r="Z770" t="s">
        <v>74</v>
      </c>
      <c r="AA770" t="s">
        <v>74</v>
      </c>
      <c r="AB770" t="s">
        <v>74</v>
      </c>
      <c r="AC770" t="s">
        <v>74</v>
      </c>
      <c r="AD770" t="s">
        <v>74</v>
      </c>
      <c r="AE770" t="s">
        <v>74</v>
      </c>
      <c r="AF770" t="s">
        <v>74</v>
      </c>
      <c r="AG770">
        <v>33</v>
      </c>
      <c r="AH770">
        <v>3</v>
      </c>
      <c r="AI770">
        <v>4</v>
      </c>
      <c r="AJ770">
        <v>0</v>
      </c>
      <c r="AK770">
        <v>4</v>
      </c>
      <c r="AL770" t="s">
        <v>136</v>
      </c>
      <c r="AM770" t="s">
        <v>87</v>
      </c>
      <c r="AN770" t="s">
        <v>163</v>
      </c>
      <c r="AO770" t="s">
        <v>944</v>
      </c>
      <c r="AP770" t="s">
        <v>74</v>
      </c>
      <c r="AQ770" t="s">
        <v>74</v>
      </c>
      <c r="AR770" t="s">
        <v>945</v>
      </c>
      <c r="AS770" t="s">
        <v>946</v>
      </c>
      <c r="AT770" t="s">
        <v>10978</v>
      </c>
      <c r="AU770">
        <v>2003</v>
      </c>
      <c r="AV770">
        <v>15</v>
      </c>
      <c r="AW770">
        <v>4</v>
      </c>
      <c r="AX770" t="s">
        <v>74</v>
      </c>
      <c r="AY770" t="s">
        <v>74</v>
      </c>
      <c r="AZ770" t="s">
        <v>74</v>
      </c>
      <c r="BA770" t="s">
        <v>74</v>
      </c>
      <c r="BB770">
        <v>476</v>
      </c>
      <c r="BC770">
        <v>482</v>
      </c>
      <c r="BD770" t="s">
        <v>74</v>
      </c>
      <c r="BE770" t="s">
        <v>11111</v>
      </c>
      <c r="BF770" t="str">
        <f>HYPERLINK("http://dx.doi.org/10.1017/S0954102003001585","http://dx.doi.org/10.1017/S0954102003001585")</f>
        <v>http://dx.doi.org/10.1017/S0954102003001585</v>
      </c>
      <c r="BG770" t="s">
        <v>74</v>
      </c>
      <c r="BH770" t="s">
        <v>74</v>
      </c>
      <c r="BI770">
        <v>7</v>
      </c>
      <c r="BJ770" t="s">
        <v>948</v>
      </c>
      <c r="BK770" t="s">
        <v>96</v>
      </c>
      <c r="BL770" t="s">
        <v>949</v>
      </c>
      <c r="BM770" t="s">
        <v>11025</v>
      </c>
      <c r="BN770" t="s">
        <v>74</v>
      </c>
      <c r="BO770" t="s">
        <v>74</v>
      </c>
      <c r="BP770" t="s">
        <v>74</v>
      </c>
      <c r="BQ770" t="s">
        <v>74</v>
      </c>
      <c r="BR770" t="s">
        <v>99</v>
      </c>
      <c r="BS770" t="s">
        <v>11112</v>
      </c>
      <c r="BT770" t="str">
        <f>HYPERLINK("https%3A%2F%2Fwww.webofscience.com%2Fwos%2Fwoscc%2Ffull-record%2FWOS:000187366600009","View Full Record in Web of Science")</f>
        <v>View Full Record in Web of Science</v>
      </c>
    </row>
    <row r="771" spans="1:72" x14ac:dyDescent="0.15">
      <c r="A771" t="s">
        <v>72</v>
      </c>
      <c r="B771" t="s">
        <v>11113</v>
      </c>
      <c r="C771" t="s">
        <v>74</v>
      </c>
      <c r="D771" t="s">
        <v>74</v>
      </c>
      <c r="E771" t="s">
        <v>74</v>
      </c>
      <c r="F771" t="s">
        <v>11113</v>
      </c>
      <c r="G771" t="s">
        <v>74</v>
      </c>
      <c r="H771" t="s">
        <v>74</v>
      </c>
      <c r="I771" t="s">
        <v>11114</v>
      </c>
      <c r="J771" t="s">
        <v>943</v>
      </c>
      <c r="K771" t="s">
        <v>74</v>
      </c>
      <c r="L771" t="s">
        <v>74</v>
      </c>
      <c r="M771" t="s">
        <v>77</v>
      </c>
      <c r="N771" t="s">
        <v>78</v>
      </c>
      <c r="O771" t="s">
        <v>74</v>
      </c>
      <c r="P771" t="s">
        <v>74</v>
      </c>
      <c r="Q771" t="s">
        <v>74</v>
      </c>
      <c r="R771" t="s">
        <v>74</v>
      </c>
      <c r="S771" t="s">
        <v>74</v>
      </c>
      <c r="T771" t="s">
        <v>11115</v>
      </c>
      <c r="U771" t="s">
        <v>11116</v>
      </c>
      <c r="V771" t="s">
        <v>11117</v>
      </c>
      <c r="W771" t="s">
        <v>11118</v>
      </c>
      <c r="X771" t="s">
        <v>11119</v>
      </c>
      <c r="Y771" t="s">
        <v>11120</v>
      </c>
      <c r="Z771" t="s">
        <v>3404</v>
      </c>
      <c r="AA771" t="s">
        <v>11121</v>
      </c>
      <c r="AB771" t="s">
        <v>11122</v>
      </c>
      <c r="AC771" t="s">
        <v>74</v>
      </c>
      <c r="AD771" t="s">
        <v>74</v>
      </c>
      <c r="AE771" t="s">
        <v>74</v>
      </c>
      <c r="AF771" t="s">
        <v>74</v>
      </c>
      <c r="AG771">
        <v>54</v>
      </c>
      <c r="AH771">
        <v>19</v>
      </c>
      <c r="AI771">
        <v>20</v>
      </c>
      <c r="AJ771">
        <v>0</v>
      </c>
      <c r="AK771">
        <v>9</v>
      </c>
      <c r="AL771" t="s">
        <v>136</v>
      </c>
      <c r="AM771" t="s">
        <v>87</v>
      </c>
      <c r="AN771" t="s">
        <v>137</v>
      </c>
      <c r="AO771" t="s">
        <v>944</v>
      </c>
      <c r="AP771" t="s">
        <v>74</v>
      </c>
      <c r="AQ771" t="s">
        <v>74</v>
      </c>
      <c r="AR771" t="s">
        <v>945</v>
      </c>
      <c r="AS771" t="s">
        <v>946</v>
      </c>
      <c r="AT771" t="s">
        <v>10978</v>
      </c>
      <c r="AU771">
        <v>2003</v>
      </c>
      <c r="AV771">
        <v>15</v>
      </c>
      <c r="AW771">
        <v>4</v>
      </c>
      <c r="AX771" t="s">
        <v>74</v>
      </c>
      <c r="AY771" t="s">
        <v>74</v>
      </c>
      <c r="AZ771" t="s">
        <v>74</v>
      </c>
      <c r="BA771" t="s">
        <v>74</v>
      </c>
      <c r="BB771">
        <v>483</v>
      </c>
      <c r="BC771">
        <v>491</v>
      </c>
      <c r="BD771" t="s">
        <v>74</v>
      </c>
      <c r="BE771" t="s">
        <v>11123</v>
      </c>
      <c r="BF771" t="str">
        <f>HYPERLINK("http://dx.doi.org/10.1017/S0954102003001597","http://dx.doi.org/10.1017/S0954102003001597")</f>
        <v>http://dx.doi.org/10.1017/S0954102003001597</v>
      </c>
      <c r="BG771" t="s">
        <v>74</v>
      </c>
      <c r="BH771" t="s">
        <v>74</v>
      </c>
      <c r="BI771">
        <v>9</v>
      </c>
      <c r="BJ771" t="s">
        <v>948</v>
      </c>
      <c r="BK771" t="s">
        <v>96</v>
      </c>
      <c r="BL771" t="s">
        <v>949</v>
      </c>
      <c r="BM771" t="s">
        <v>11025</v>
      </c>
      <c r="BN771" t="s">
        <v>74</v>
      </c>
      <c r="BO771" t="s">
        <v>74</v>
      </c>
      <c r="BP771" t="s">
        <v>74</v>
      </c>
      <c r="BQ771" t="s">
        <v>74</v>
      </c>
      <c r="BR771" t="s">
        <v>99</v>
      </c>
      <c r="BS771" t="s">
        <v>11124</v>
      </c>
      <c r="BT771" t="str">
        <f>HYPERLINK("https%3A%2F%2Fwww.webofscience.com%2Fwos%2Fwoscc%2Ffull-record%2FWOS:000187366600010","View Full Record in Web of Science")</f>
        <v>View Full Record in Web of Science</v>
      </c>
    </row>
    <row r="772" spans="1:72" x14ac:dyDescent="0.15">
      <c r="A772" t="s">
        <v>72</v>
      </c>
      <c r="B772" t="s">
        <v>11125</v>
      </c>
      <c r="C772" t="s">
        <v>74</v>
      </c>
      <c r="D772" t="s">
        <v>74</v>
      </c>
      <c r="E772" t="s">
        <v>74</v>
      </c>
      <c r="F772" t="s">
        <v>11125</v>
      </c>
      <c r="G772" t="s">
        <v>74</v>
      </c>
      <c r="H772" t="s">
        <v>74</v>
      </c>
      <c r="I772" t="s">
        <v>11126</v>
      </c>
      <c r="J772" t="s">
        <v>943</v>
      </c>
      <c r="K772" t="s">
        <v>74</v>
      </c>
      <c r="L772" t="s">
        <v>74</v>
      </c>
      <c r="M772" t="s">
        <v>77</v>
      </c>
      <c r="N772" t="s">
        <v>78</v>
      </c>
      <c r="O772" t="s">
        <v>74</v>
      </c>
      <c r="P772" t="s">
        <v>74</v>
      </c>
      <c r="Q772" t="s">
        <v>74</v>
      </c>
      <c r="R772" t="s">
        <v>74</v>
      </c>
      <c r="S772" t="s">
        <v>74</v>
      </c>
      <c r="T772" t="s">
        <v>11127</v>
      </c>
      <c r="U772" t="s">
        <v>11128</v>
      </c>
      <c r="V772" t="s">
        <v>11129</v>
      </c>
      <c r="W772" t="s">
        <v>11130</v>
      </c>
      <c r="X772" t="s">
        <v>11131</v>
      </c>
      <c r="Y772" t="s">
        <v>11132</v>
      </c>
      <c r="Z772" t="s">
        <v>11133</v>
      </c>
      <c r="AA772" t="s">
        <v>11134</v>
      </c>
      <c r="AB772" t="s">
        <v>11135</v>
      </c>
      <c r="AC772" t="s">
        <v>74</v>
      </c>
      <c r="AD772" t="s">
        <v>74</v>
      </c>
      <c r="AE772" t="s">
        <v>74</v>
      </c>
      <c r="AF772" t="s">
        <v>74</v>
      </c>
      <c r="AG772">
        <v>41</v>
      </c>
      <c r="AH772">
        <v>36</v>
      </c>
      <c r="AI772">
        <v>39</v>
      </c>
      <c r="AJ772">
        <v>0</v>
      </c>
      <c r="AK772">
        <v>7</v>
      </c>
      <c r="AL772" t="s">
        <v>136</v>
      </c>
      <c r="AM772" t="s">
        <v>87</v>
      </c>
      <c r="AN772" t="s">
        <v>137</v>
      </c>
      <c r="AO772" t="s">
        <v>944</v>
      </c>
      <c r="AP772" t="s">
        <v>1000</v>
      </c>
      <c r="AQ772" t="s">
        <v>74</v>
      </c>
      <c r="AR772" t="s">
        <v>945</v>
      </c>
      <c r="AS772" t="s">
        <v>946</v>
      </c>
      <c r="AT772" t="s">
        <v>10978</v>
      </c>
      <c r="AU772">
        <v>2003</v>
      </c>
      <c r="AV772">
        <v>15</v>
      </c>
      <c r="AW772">
        <v>4</v>
      </c>
      <c r="AX772" t="s">
        <v>74</v>
      </c>
      <c r="AY772" t="s">
        <v>74</v>
      </c>
      <c r="AZ772" t="s">
        <v>74</v>
      </c>
      <c r="BA772" t="s">
        <v>74</v>
      </c>
      <c r="BB772">
        <v>493</v>
      </c>
      <c r="BC772">
        <v>502</v>
      </c>
      <c r="BD772" t="s">
        <v>74</v>
      </c>
      <c r="BE772" t="s">
        <v>11136</v>
      </c>
      <c r="BF772" t="str">
        <f>HYPERLINK("http://dx.doi.org/10.1017/S0954102003001603","http://dx.doi.org/10.1017/S0954102003001603")</f>
        <v>http://dx.doi.org/10.1017/S0954102003001603</v>
      </c>
      <c r="BG772" t="s">
        <v>74</v>
      </c>
      <c r="BH772" t="s">
        <v>74</v>
      </c>
      <c r="BI772">
        <v>10</v>
      </c>
      <c r="BJ772" t="s">
        <v>948</v>
      </c>
      <c r="BK772" t="s">
        <v>96</v>
      </c>
      <c r="BL772" t="s">
        <v>949</v>
      </c>
      <c r="BM772" t="s">
        <v>11025</v>
      </c>
      <c r="BN772" t="s">
        <v>74</v>
      </c>
      <c r="BO772" t="s">
        <v>74</v>
      </c>
      <c r="BP772" t="s">
        <v>74</v>
      </c>
      <c r="BQ772" t="s">
        <v>74</v>
      </c>
      <c r="BR772" t="s">
        <v>99</v>
      </c>
      <c r="BS772" t="s">
        <v>11137</v>
      </c>
      <c r="BT772" t="str">
        <f>HYPERLINK("https%3A%2F%2Fwww.webofscience.com%2Fwos%2Fwoscc%2Ffull-record%2FWOS:000187366600011","View Full Record in Web of Science")</f>
        <v>View Full Record in Web of Science</v>
      </c>
    </row>
    <row r="773" spans="1:72" x14ac:dyDescent="0.15">
      <c r="A773" t="s">
        <v>72</v>
      </c>
      <c r="B773" t="s">
        <v>11138</v>
      </c>
      <c r="C773" t="s">
        <v>74</v>
      </c>
      <c r="D773" t="s">
        <v>74</v>
      </c>
      <c r="E773" t="s">
        <v>74</v>
      </c>
      <c r="F773" t="s">
        <v>11138</v>
      </c>
      <c r="G773" t="s">
        <v>74</v>
      </c>
      <c r="H773" t="s">
        <v>74</v>
      </c>
      <c r="I773" t="s">
        <v>11139</v>
      </c>
      <c r="J773" t="s">
        <v>943</v>
      </c>
      <c r="K773" t="s">
        <v>74</v>
      </c>
      <c r="L773" t="s">
        <v>74</v>
      </c>
      <c r="M773" t="s">
        <v>77</v>
      </c>
      <c r="N773" t="s">
        <v>78</v>
      </c>
      <c r="O773" t="s">
        <v>74</v>
      </c>
      <c r="P773" t="s">
        <v>74</v>
      </c>
      <c r="Q773" t="s">
        <v>74</v>
      </c>
      <c r="R773" t="s">
        <v>74</v>
      </c>
      <c r="S773" t="s">
        <v>74</v>
      </c>
      <c r="T773" t="s">
        <v>11140</v>
      </c>
      <c r="U773" t="s">
        <v>11141</v>
      </c>
      <c r="V773" t="s">
        <v>11142</v>
      </c>
      <c r="W773" t="s">
        <v>11143</v>
      </c>
      <c r="X773" t="s">
        <v>2171</v>
      </c>
      <c r="Y773" t="s">
        <v>11144</v>
      </c>
      <c r="Z773" t="s">
        <v>11145</v>
      </c>
      <c r="AA773" t="s">
        <v>11146</v>
      </c>
      <c r="AB773" t="s">
        <v>74</v>
      </c>
      <c r="AC773" t="s">
        <v>74</v>
      </c>
      <c r="AD773" t="s">
        <v>74</v>
      </c>
      <c r="AE773" t="s">
        <v>74</v>
      </c>
      <c r="AF773" t="s">
        <v>74</v>
      </c>
      <c r="AG773">
        <v>21</v>
      </c>
      <c r="AH773">
        <v>13</v>
      </c>
      <c r="AI773">
        <v>13</v>
      </c>
      <c r="AJ773">
        <v>0</v>
      </c>
      <c r="AK773">
        <v>9</v>
      </c>
      <c r="AL773" t="s">
        <v>136</v>
      </c>
      <c r="AM773" t="s">
        <v>87</v>
      </c>
      <c r="AN773" t="s">
        <v>137</v>
      </c>
      <c r="AO773" t="s">
        <v>944</v>
      </c>
      <c r="AP773" t="s">
        <v>1000</v>
      </c>
      <c r="AQ773" t="s">
        <v>74</v>
      </c>
      <c r="AR773" t="s">
        <v>945</v>
      </c>
      <c r="AS773" t="s">
        <v>946</v>
      </c>
      <c r="AT773" t="s">
        <v>10978</v>
      </c>
      <c r="AU773">
        <v>2003</v>
      </c>
      <c r="AV773">
        <v>15</v>
      </c>
      <c r="AW773">
        <v>4</v>
      </c>
      <c r="AX773" t="s">
        <v>74</v>
      </c>
      <c r="AY773" t="s">
        <v>74</v>
      </c>
      <c r="AZ773" t="s">
        <v>74</v>
      </c>
      <c r="BA773" t="s">
        <v>74</v>
      </c>
      <c r="BB773">
        <v>503</v>
      </c>
      <c r="BC773">
        <v>506</v>
      </c>
      <c r="BD773" t="s">
        <v>74</v>
      </c>
      <c r="BE773" t="s">
        <v>11147</v>
      </c>
      <c r="BF773" t="str">
        <f>HYPERLINK("http://dx.doi.org/10.1017/S0954102003001615","http://dx.doi.org/10.1017/S0954102003001615")</f>
        <v>http://dx.doi.org/10.1017/S0954102003001615</v>
      </c>
      <c r="BG773" t="s">
        <v>74</v>
      </c>
      <c r="BH773" t="s">
        <v>74</v>
      </c>
      <c r="BI773">
        <v>4</v>
      </c>
      <c r="BJ773" t="s">
        <v>948</v>
      </c>
      <c r="BK773" t="s">
        <v>96</v>
      </c>
      <c r="BL773" t="s">
        <v>949</v>
      </c>
      <c r="BM773" t="s">
        <v>11025</v>
      </c>
      <c r="BN773" t="s">
        <v>74</v>
      </c>
      <c r="BO773" t="s">
        <v>74</v>
      </c>
      <c r="BP773" t="s">
        <v>74</v>
      </c>
      <c r="BQ773" t="s">
        <v>74</v>
      </c>
      <c r="BR773" t="s">
        <v>99</v>
      </c>
      <c r="BS773" t="s">
        <v>11148</v>
      </c>
      <c r="BT773" t="str">
        <f>HYPERLINK("https%3A%2F%2Fwww.webofscience.com%2Fwos%2Fwoscc%2Ffull-record%2FWOS:000187366600012","View Full Record in Web of Science")</f>
        <v>View Full Record in Web of Science</v>
      </c>
    </row>
    <row r="774" spans="1:72" x14ac:dyDescent="0.15">
      <c r="A774" t="s">
        <v>72</v>
      </c>
      <c r="B774" t="s">
        <v>11149</v>
      </c>
      <c r="C774" t="s">
        <v>74</v>
      </c>
      <c r="D774" t="s">
        <v>74</v>
      </c>
      <c r="E774" t="s">
        <v>74</v>
      </c>
      <c r="F774" t="s">
        <v>11149</v>
      </c>
      <c r="G774" t="s">
        <v>74</v>
      </c>
      <c r="H774" t="s">
        <v>74</v>
      </c>
      <c r="I774" t="s">
        <v>11150</v>
      </c>
      <c r="J774" t="s">
        <v>943</v>
      </c>
      <c r="K774" t="s">
        <v>74</v>
      </c>
      <c r="L774" t="s">
        <v>74</v>
      </c>
      <c r="M774" t="s">
        <v>77</v>
      </c>
      <c r="N774" t="s">
        <v>78</v>
      </c>
      <c r="O774" t="s">
        <v>74</v>
      </c>
      <c r="P774" t="s">
        <v>74</v>
      </c>
      <c r="Q774" t="s">
        <v>74</v>
      </c>
      <c r="R774" t="s">
        <v>74</v>
      </c>
      <c r="S774" t="s">
        <v>74</v>
      </c>
      <c r="T774" t="s">
        <v>11151</v>
      </c>
      <c r="U774" t="s">
        <v>11152</v>
      </c>
      <c r="V774" t="s">
        <v>11153</v>
      </c>
      <c r="W774" t="s">
        <v>11154</v>
      </c>
      <c r="X774" t="s">
        <v>2252</v>
      </c>
      <c r="Y774" t="s">
        <v>11155</v>
      </c>
      <c r="Z774" t="s">
        <v>11156</v>
      </c>
      <c r="AA774" t="s">
        <v>11157</v>
      </c>
      <c r="AB774" t="s">
        <v>11158</v>
      </c>
      <c r="AC774" t="s">
        <v>74</v>
      </c>
      <c r="AD774" t="s">
        <v>74</v>
      </c>
      <c r="AE774" t="s">
        <v>74</v>
      </c>
      <c r="AF774" t="s">
        <v>74</v>
      </c>
      <c r="AG774">
        <v>41</v>
      </c>
      <c r="AH774">
        <v>14</v>
      </c>
      <c r="AI774">
        <v>15</v>
      </c>
      <c r="AJ774">
        <v>0</v>
      </c>
      <c r="AK774">
        <v>3</v>
      </c>
      <c r="AL774" t="s">
        <v>136</v>
      </c>
      <c r="AM774" t="s">
        <v>87</v>
      </c>
      <c r="AN774" t="s">
        <v>137</v>
      </c>
      <c r="AO774" t="s">
        <v>944</v>
      </c>
      <c r="AP774" t="s">
        <v>1000</v>
      </c>
      <c r="AQ774" t="s">
        <v>74</v>
      </c>
      <c r="AR774" t="s">
        <v>945</v>
      </c>
      <c r="AS774" t="s">
        <v>946</v>
      </c>
      <c r="AT774" t="s">
        <v>10978</v>
      </c>
      <c r="AU774">
        <v>2003</v>
      </c>
      <c r="AV774">
        <v>15</v>
      </c>
      <c r="AW774">
        <v>4</v>
      </c>
      <c r="AX774" t="s">
        <v>74</v>
      </c>
      <c r="AY774" t="s">
        <v>74</v>
      </c>
      <c r="AZ774" t="s">
        <v>74</v>
      </c>
      <c r="BA774" t="s">
        <v>74</v>
      </c>
      <c r="BB774">
        <v>507</v>
      </c>
      <c r="BC774">
        <v>511</v>
      </c>
      <c r="BD774" t="s">
        <v>74</v>
      </c>
      <c r="BE774" t="s">
        <v>11159</v>
      </c>
      <c r="BF774" t="str">
        <f>HYPERLINK("http://dx.doi.org/10.1017/S0954102003001627","http://dx.doi.org/10.1017/S0954102003001627")</f>
        <v>http://dx.doi.org/10.1017/S0954102003001627</v>
      </c>
      <c r="BG774" t="s">
        <v>74</v>
      </c>
      <c r="BH774" t="s">
        <v>74</v>
      </c>
      <c r="BI774">
        <v>5</v>
      </c>
      <c r="BJ774" t="s">
        <v>948</v>
      </c>
      <c r="BK774" t="s">
        <v>96</v>
      </c>
      <c r="BL774" t="s">
        <v>949</v>
      </c>
      <c r="BM774" t="s">
        <v>11025</v>
      </c>
      <c r="BN774" t="s">
        <v>74</v>
      </c>
      <c r="BO774" t="s">
        <v>74</v>
      </c>
      <c r="BP774" t="s">
        <v>74</v>
      </c>
      <c r="BQ774" t="s">
        <v>74</v>
      </c>
      <c r="BR774" t="s">
        <v>99</v>
      </c>
      <c r="BS774" t="s">
        <v>11160</v>
      </c>
      <c r="BT774" t="str">
        <f>HYPERLINK("https%3A%2F%2Fwww.webofscience.com%2Fwos%2Fwoscc%2Ffull-record%2FWOS:000187366600013","View Full Record in Web of Science")</f>
        <v>View Full Record in Web of Science</v>
      </c>
    </row>
    <row r="775" spans="1:72" x14ac:dyDescent="0.15">
      <c r="A775" t="s">
        <v>72</v>
      </c>
      <c r="B775" t="s">
        <v>11161</v>
      </c>
      <c r="C775" t="s">
        <v>74</v>
      </c>
      <c r="D775" t="s">
        <v>74</v>
      </c>
      <c r="E775" t="s">
        <v>74</v>
      </c>
      <c r="F775" t="s">
        <v>11161</v>
      </c>
      <c r="G775" t="s">
        <v>74</v>
      </c>
      <c r="H775" t="s">
        <v>74</v>
      </c>
      <c r="I775" t="s">
        <v>11162</v>
      </c>
      <c r="J775" t="s">
        <v>943</v>
      </c>
      <c r="K775" t="s">
        <v>74</v>
      </c>
      <c r="L775" t="s">
        <v>74</v>
      </c>
      <c r="M775" t="s">
        <v>77</v>
      </c>
      <c r="N775" t="s">
        <v>78</v>
      </c>
      <c r="O775" t="s">
        <v>74</v>
      </c>
      <c r="P775" t="s">
        <v>74</v>
      </c>
      <c r="Q775" t="s">
        <v>74</v>
      </c>
      <c r="R775" t="s">
        <v>74</v>
      </c>
      <c r="S775" t="s">
        <v>74</v>
      </c>
      <c r="T775" t="s">
        <v>11163</v>
      </c>
      <c r="U775" t="s">
        <v>11164</v>
      </c>
      <c r="V775" t="s">
        <v>11165</v>
      </c>
      <c r="W775" t="s">
        <v>11166</v>
      </c>
      <c r="X775" t="s">
        <v>11167</v>
      </c>
      <c r="Y775" t="s">
        <v>11168</v>
      </c>
      <c r="Z775" t="s">
        <v>11169</v>
      </c>
      <c r="AA775" t="s">
        <v>74</v>
      </c>
      <c r="AB775" t="s">
        <v>11170</v>
      </c>
      <c r="AC775" t="s">
        <v>74</v>
      </c>
      <c r="AD775" t="s">
        <v>74</v>
      </c>
      <c r="AE775" t="s">
        <v>74</v>
      </c>
      <c r="AF775" t="s">
        <v>74</v>
      </c>
      <c r="AG775">
        <v>49</v>
      </c>
      <c r="AH775">
        <v>17</v>
      </c>
      <c r="AI775">
        <v>22</v>
      </c>
      <c r="AJ775">
        <v>0</v>
      </c>
      <c r="AK775">
        <v>3</v>
      </c>
      <c r="AL775" t="s">
        <v>136</v>
      </c>
      <c r="AM775" t="s">
        <v>87</v>
      </c>
      <c r="AN775" t="s">
        <v>137</v>
      </c>
      <c r="AO775" t="s">
        <v>944</v>
      </c>
      <c r="AP775" t="s">
        <v>1000</v>
      </c>
      <c r="AQ775" t="s">
        <v>74</v>
      </c>
      <c r="AR775" t="s">
        <v>945</v>
      </c>
      <c r="AS775" t="s">
        <v>946</v>
      </c>
      <c r="AT775" t="s">
        <v>10978</v>
      </c>
      <c r="AU775">
        <v>2003</v>
      </c>
      <c r="AV775">
        <v>15</v>
      </c>
      <c r="AW775">
        <v>4</v>
      </c>
      <c r="AX775" t="s">
        <v>74</v>
      </c>
      <c r="AY775" t="s">
        <v>74</v>
      </c>
      <c r="AZ775" t="s">
        <v>74</v>
      </c>
      <c r="BA775" t="s">
        <v>74</v>
      </c>
      <c r="BB775">
        <v>512</v>
      </c>
      <c r="BC775">
        <v>521</v>
      </c>
      <c r="BD775" t="s">
        <v>74</v>
      </c>
      <c r="BE775" t="s">
        <v>11171</v>
      </c>
      <c r="BF775" t="str">
        <f>HYPERLINK("http://dx.doi.org/10.1017/S0954102003001639","http://dx.doi.org/10.1017/S0954102003001639")</f>
        <v>http://dx.doi.org/10.1017/S0954102003001639</v>
      </c>
      <c r="BG775" t="s">
        <v>74</v>
      </c>
      <c r="BH775" t="s">
        <v>74</v>
      </c>
      <c r="BI775">
        <v>10</v>
      </c>
      <c r="BJ775" t="s">
        <v>948</v>
      </c>
      <c r="BK775" t="s">
        <v>96</v>
      </c>
      <c r="BL775" t="s">
        <v>949</v>
      </c>
      <c r="BM775" t="s">
        <v>11025</v>
      </c>
      <c r="BN775" t="s">
        <v>74</v>
      </c>
      <c r="BO775" t="s">
        <v>74</v>
      </c>
      <c r="BP775" t="s">
        <v>74</v>
      </c>
      <c r="BQ775" t="s">
        <v>74</v>
      </c>
      <c r="BR775" t="s">
        <v>99</v>
      </c>
      <c r="BS775" t="s">
        <v>11172</v>
      </c>
      <c r="BT775" t="str">
        <f>HYPERLINK("https%3A%2F%2Fwww.webofscience.com%2Fwos%2Fwoscc%2Ffull-record%2FWOS:000187366600014","View Full Record in Web of Science")</f>
        <v>View Full Record in Web of Science</v>
      </c>
    </row>
    <row r="776" spans="1:72" x14ac:dyDescent="0.15">
      <c r="A776" t="s">
        <v>72</v>
      </c>
      <c r="B776" t="s">
        <v>11173</v>
      </c>
      <c r="C776" t="s">
        <v>74</v>
      </c>
      <c r="D776" t="s">
        <v>74</v>
      </c>
      <c r="E776" t="s">
        <v>74</v>
      </c>
      <c r="F776" t="s">
        <v>11173</v>
      </c>
      <c r="G776" t="s">
        <v>74</v>
      </c>
      <c r="H776" t="s">
        <v>74</v>
      </c>
      <c r="I776" t="s">
        <v>11174</v>
      </c>
      <c r="J776" t="s">
        <v>943</v>
      </c>
      <c r="K776" t="s">
        <v>74</v>
      </c>
      <c r="L776" t="s">
        <v>74</v>
      </c>
      <c r="M776" t="s">
        <v>77</v>
      </c>
      <c r="N776" t="s">
        <v>78</v>
      </c>
      <c r="O776" t="s">
        <v>74</v>
      </c>
      <c r="P776" t="s">
        <v>74</v>
      </c>
      <c r="Q776" t="s">
        <v>74</v>
      </c>
      <c r="R776" t="s">
        <v>74</v>
      </c>
      <c r="S776" t="s">
        <v>74</v>
      </c>
      <c r="T776" t="s">
        <v>11175</v>
      </c>
      <c r="U776" t="s">
        <v>11176</v>
      </c>
      <c r="V776" t="s">
        <v>11177</v>
      </c>
      <c r="W776" t="s">
        <v>11178</v>
      </c>
      <c r="X776" t="s">
        <v>11179</v>
      </c>
      <c r="Y776" t="s">
        <v>11180</v>
      </c>
      <c r="Z776" t="s">
        <v>11181</v>
      </c>
      <c r="AA776" t="s">
        <v>74</v>
      </c>
      <c r="AB776" t="s">
        <v>74</v>
      </c>
      <c r="AC776" t="s">
        <v>74</v>
      </c>
      <c r="AD776" t="s">
        <v>74</v>
      </c>
      <c r="AE776" t="s">
        <v>74</v>
      </c>
      <c r="AF776" t="s">
        <v>74</v>
      </c>
      <c r="AG776">
        <v>70</v>
      </c>
      <c r="AH776">
        <v>9</v>
      </c>
      <c r="AI776">
        <v>10</v>
      </c>
      <c r="AJ776">
        <v>0</v>
      </c>
      <c r="AK776">
        <v>4</v>
      </c>
      <c r="AL776" t="s">
        <v>136</v>
      </c>
      <c r="AM776" t="s">
        <v>87</v>
      </c>
      <c r="AN776" t="s">
        <v>137</v>
      </c>
      <c r="AO776" t="s">
        <v>944</v>
      </c>
      <c r="AP776" t="s">
        <v>1000</v>
      </c>
      <c r="AQ776" t="s">
        <v>74</v>
      </c>
      <c r="AR776" t="s">
        <v>945</v>
      </c>
      <c r="AS776" t="s">
        <v>946</v>
      </c>
      <c r="AT776" t="s">
        <v>10978</v>
      </c>
      <c r="AU776">
        <v>2003</v>
      </c>
      <c r="AV776">
        <v>15</v>
      </c>
      <c r="AW776">
        <v>4</v>
      </c>
      <c r="AX776" t="s">
        <v>74</v>
      </c>
      <c r="AY776" t="s">
        <v>74</v>
      </c>
      <c r="AZ776" t="s">
        <v>74</v>
      </c>
      <c r="BA776" t="s">
        <v>74</v>
      </c>
      <c r="BB776">
        <v>522</v>
      </c>
      <c r="BC776">
        <v>536</v>
      </c>
      <c r="BD776" t="s">
        <v>74</v>
      </c>
      <c r="BE776" t="s">
        <v>11182</v>
      </c>
      <c r="BF776" t="str">
        <f>HYPERLINK("http://dx.doi.org/10.1017/S0954102003001640","http://dx.doi.org/10.1017/S0954102003001640")</f>
        <v>http://dx.doi.org/10.1017/S0954102003001640</v>
      </c>
      <c r="BG776" t="s">
        <v>74</v>
      </c>
      <c r="BH776" t="s">
        <v>74</v>
      </c>
      <c r="BI776">
        <v>15</v>
      </c>
      <c r="BJ776" t="s">
        <v>948</v>
      </c>
      <c r="BK776" t="s">
        <v>96</v>
      </c>
      <c r="BL776" t="s">
        <v>949</v>
      </c>
      <c r="BM776" t="s">
        <v>11025</v>
      </c>
      <c r="BN776" t="s">
        <v>74</v>
      </c>
      <c r="BO776" t="s">
        <v>74</v>
      </c>
      <c r="BP776" t="s">
        <v>74</v>
      </c>
      <c r="BQ776" t="s">
        <v>74</v>
      </c>
      <c r="BR776" t="s">
        <v>99</v>
      </c>
      <c r="BS776" t="s">
        <v>11183</v>
      </c>
      <c r="BT776" t="str">
        <f>HYPERLINK("https%3A%2F%2Fwww.webofscience.com%2Fwos%2Fwoscc%2Ffull-record%2FWOS:000187366600015","View Full Record in Web of Science")</f>
        <v>View Full Record in Web of Science</v>
      </c>
    </row>
    <row r="777" spans="1:72" x14ac:dyDescent="0.15">
      <c r="A777" t="s">
        <v>72</v>
      </c>
      <c r="B777" t="s">
        <v>11184</v>
      </c>
      <c r="C777" t="s">
        <v>74</v>
      </c>
      <c r="D777" t="s">
        <v>74</v>
      </c>
      <c r="E777" t="s">
        <v>74</v>
      </c>
      <c r="F777" t="s">
        <v>11184</v>
      </c>
      <c r="G777" t="s">
        <v>74</v>
      </c>
      <c r="H777" t="s">
        <v>74</v>
      </c>
      <c r="I777" t="s">
        <v>11185</v>
      </c>
      <c r="J777" t="s">
        <v>943</v>
      </c>
      <c r="K777" t="s">
        <v>74</v>
      </c>
      <c r="L777" t="s">
        <v>74</v>
      </c>
      <c r="M777" t="s">
        <v>77</v>
      </c>
      <c r="N777" t="s">
        <v>78</v>
      </c>
      <c r="O777" t="s">
        <v>74</v>
      </c>
      <c r="P777" t="s">
        <v>74</v>
      </c>
      <c r="Q777" t="s">
        <v>74</v>
      </c>
      <c r="R777" t="s">
        <v>74</v>
      </c>
      <c r="S777" t="s">
        <v>74</v>
      </c>
      <c r="T777" t="s">
        <v>11186</v>
      </c>
      <c r="U777" t="s">
        <v>11187</v>
      </c>
      <c r="V777" t="s">
        <v>11188</v>
      </c>
      <c r="W777" t="s">
        <v>11189</v>
      </c>
      <c r="X777" t="s">
        <v>11190</v>
      </c>
      <c r="Y777" t="s">
        <v>11191</v>
      </c>
      <c r="Z777" t="s">
        <v>74</v>
      </c>
      <c r="AA777" t="s">
        <v>11192</v>
      </c>
      <c r="AB777" t="s">
        <v>11193</v>
      </c>
      <c r="AC777" t="s">
        <v>74</v>
      </c>
      <c r="AD777" t="s">
        <v>74</v>
      </c>
      <c r="AE777" t="s">
        <v>74</v>
      </c>
      <c r="AF777" t="s">
        <v>74</v>
      </c>
      <c r="AG777">
        <v>45</v>
      </c>
      <c r="AH777">
        <v>34</v>
      </c>
      <c r="AI777">
        <v>35</v>
      </c>
      <c r="AJ777">
        <v>1</v>
      </c>
      <c r="AK777">
        <v>4</v>
      </c>
      <c r="AL777" t="s">
        <v>136</v>
      </c>
      <c r="AM777" t="s">
        <v>87</v>
      </c>
      <c r="AN777" t="s">
        <v>163</v>
      </c>
      <c r="AO777" t="s">
        <v>944</v>
      </c>
      <c r="AP777" t="s">
        <v>74</v>
      </c>
      <c r="AQ777" t="s">
        <v>74</v>
      </c>
      <c r="AR777" t="s">
        <v>945</v>
      </c>
      <c r="AS777" t="s">
        <v>946</v>
      </c>
      <c r="AT777" t="s">
        <v>10978</v>
      </c>
      <c r="AU777">
        <v>2003</v>
      </c>
      <c r="AV777">
        <v>15</v>
      </c>
      <c r="AW777">
        <v>4</v>
      </c>
      <c r="AX777" t="s">
        <v>74</v>
      </c>
      <c r="AY777" t="s">
        <v>74</v>
      </c>
      <c r="AZ777" t="s">
        <v>74</v>
      </c>
      <c r="BA777" t="s">
        <v>74</v>
      </c>
      <c r="BB777">
        <v>537</v>
      </c>
      <c r="BC777">
        <v>546</v>
      </c>
      <c r="BD777" t="s">
        <v>74</v>
      </c>
      <c r="BE777" t="s">
        <v>11194</v>
      </c>
      <c r="BF777" t="str">
        <f>HYPERLINK("http://dx.doi.org/10.1017/S0954102003001652","http://dx.doi.org/10.1017/S0954102003001652")</f>
        <v>http://dx.doi.org/10.1017/S0954102003001652</v>
      </c>
      <c r="BG777" t="s">
        <v>74</v>
      </c>
      <c r="BH777" t="s">
        <v>74</v>
      </c>
      <c r="BI777">
        <v>10</v>
      </c>
      <c r="BJ777" t="s">
        <v>948</v>
      </c>
      <c r="BK777" t="s">
        <v>96</v>
      </c>
      <c r="BL777" t="s">
        <v>949</v>
      </c>
      <c r="BM777" t="s">
        <v>11025</v>
      </c>
      <c r="BN777" t="s">
        <v>74</v>
      </c>
      <c r="BO777" t="s">
        <v>74</v>
      </c>
      <c r="BP777" t="s">
        <v>74</v>
      </c>
      <c r="BQ777" t="s">
        <v>74</v>
      </c>
      <c r="BR777" t="s">
        <v>99</v>
      </c>
      <c r="BS777" t="s">
        <v>11195</v>
      </c>
      <c r="BT777" t="str">
        <f>HYPERLINK("https%3A%2F%2Fwww.webofscience.com%2Fwos%2Fwoscc%2Ffull-record%2FWOS:000187366600016","View Full Record in Web of Science")</f>
        <v>View Full Record in Web of Science</v>
      </c>
    </row>
    <row r="778" spans="1:72" x14ac:dyDescent="0.15">
      <c r="A778" t="s">
        <v>72</v>
      </c>
      <c r="B778" t="s">
        <v>11196</v>
      </c>
      <c r="C778" t="s">
        <v>74</v>
      </c>
      <c r="D778" t="s">
        <v>74</v>
      </c>
      <c r="E778" t="s">
        <v>74</v>
      </c>
      <c r="F778" t="s">
        <v>11196</v>
      </c>
      <c r="G778" t="s">
        <v>74</v>
      </c>
      <c r="H778" t="s">
        <v>74</v>
      </c>
      <c r="I778" t="s">
        <v>11197</v>
      </c>
      <c r="J778" t="s">
        <v>943</v>
      </c>
      <c r="K778" t="s">
        <v>74</v>
      </c>
      <c r="L778" t="s">
        <v>74</v>
      </c>
      <c r="M778" t="s">
        <v>77</v>
      </c>
      <c r="N778" t="s">
        <v>78</v>
      </c>
      <c r="O778" t="s">
        <v>74</v>
      </c>
      <c r="P778" t="s">
        <v>74</v>
      </c>
      <c r="Q778" t="s">
        <v>74</v>
      </c>
      <c r="R778" t="s">
        <v>74</v>
      </c>
      <c r="S778" t="s">
        <v>74</v>
      </c>
      <c r="T778" t="s">
        <v>11198</v>
      </c>
      <c r="U778" t="s">
        <v>11199</v>
      </c>
      <c r="V778" t="s">
        <v>11200</v>
      </c>
      <c r="W778" t="s">
        <v>11201</v>
      </c>
      <c r="X778" t="s">
        <v>11202</v>
      </c>
      <c r="Y778" t="s">
        <v>11203</v>
      </c>
      <c r="Z778" t="s">
        <v>74</v>
      </c>
      <c r="AA778" t="s">
        <v>74</v>
      </c>
      <c r="AB778" t="s">
        <v>74</v>
      </c>
      <c r="AC778" t="s">
        <v>74</v>
      </c>
      <c r="AD778" t="s">
        <v>74</v>
      </c>
      <c r="AE778" t="s">
        <v>74</v>
      </c>
      <c r="AF778" t="s">
        <v>74</v>
      </c>
      <c r="AG778">
        <v>33</v>
      </c>
      <c r="AH778">
        <v>16</v>
      </c>
      <c r="AI778">
        <v>17</v>
      </c>
      <c r="AJ778">
        <v>0</v>
      </c>
      <c r="AK778">
        <v>5</v>
      </c>
      <c r="AL778" t="s">
        <v>136</v>
      </c>
      <c r="AM778" t="s">
        <v>87</v>
      </c>
      <c r="AN778" t="s">
        <v>137</v>
      </c>
      <c r="AO778" t="s">
        <v>944</v>
      </c>
      <c r="AP778" t="s">
        <v>1000</v>
      </c>
      <c r="AQ778" t="s">
        <v>74</v>
      </c>
      <c r="AR778" t="s">
        <v>945</v>
      </c>
      <c r="AS778" t="s">
        <v>946</v>
      </c>
      <c r="AT778" t="s">
        <v>10978</v>
      </c>
      <c r="AU778">
        <v>2003</v>
      </c>
      <c r="AV778">
        <v>15</v>
      </c>
      <c r="AW778">
        <v>4</v>
      </c>
      <c r="AX778" t="s">
        <v>74</v>
      </c>
      <c r="AY778" t="s">
        <v>74</v>
      </c>
      <c r="AZ778" t="s">
        <v>74</v>
      </c>
      <c r="BA778" t="s">
        <v>74</v>
      </c>
      <c r="BB778">
        <v>547</v>
      </c>
      <c r="BC778">
        <v>555</v>
      </c>
      <c r="BD778" t="s">
        <v>74</v>
      </c>
      <c r="BE778" t="s">
        <v>11204</v>
      </c>
      <c r="BF778" t="str">
        <f>HYPERLINK("http://dx.doi.org/10.1017/S0954102003001664","http://dx.doi.org/10.1017/S0954102003001664")</f>
        <v>http://dx.doi.org/10.1017/S0954102003001664</v>
      </c>
      <c r="BG778" t="s">
        <v>74</v>
      </c>
      <c r="BH778" t="s">
        <v>74</v>
      </c>
      <c r="BI778">
        <v>9</v>
      </c>
      <c r="BJ778" t="s">
        <v>948</v>
      </c>
      <c r="BK778" t="s">
        <v>96</v>
      </c>
      <c r="BL778" t="s">
        <v>949</v>
      </c>
      <c r="BM778" t="s">
        <v>11025</v>
      </c>
      <c r="BN778" t="s">
        <v>74</v>
      </c>
      <c r="BO778" t="s">
        <v>156</v>
      </c>
      <c r="BP778" t="s">
        <v>74</v>
      </c>
      <c r="BQ778" t="s">
        <v>74</v>
      </c>
      <c r="BR778" t="s">
        <v>99</v>
      </c>
      <c r="BS778" t="s">
        <v>11205</v>
      </c>
      <c r="BT778" t="str">
        <f>HYPERLINK("https%3A%2F%2Fwww.webofscience.com%2Fwos%2Fwoscc%2Ffull-record%2FWOS:000187366600017","View Full Record in Web of Science")</f>
        <v>View Full Record in Web of Science</v>
      </c>
    </row>
    <row r="779" spans="1:72" x14ac:dyDescent="0.15">
      <c r="A779" t="s">
        <v>72</v>
      </c>
      <c r="B779" t="s">
        <v>11206</v>
      </c>
      <c r="C779" t="s">
        <v>74</v>
      </c>
      <c r="D779" t="s">
        <v>74</v>
      </c>
      <c r="E779" t="s">
        <v>74</v>
      </c>
      <c r="F779" t="s">
        <v>11206</v>
      </c>
      <c r="G779" t="s">
        <v>74</v>
      </c>
      <c r="H779" t="s">
        <v>74</v>
      </c>
      <c r="I779" t="s">
        <v>11207</v>
      </c>
      <c r="J779" t="s">
        <v>11208</v>
      </c>
      <c r="K779" t="s">
        <v>74</v>
      </c>
      <c r="L779" t="s">
        <v>74</v>
      </c>
      <c r="M779" t="s">
        <v>77</v>
      </c>
      <c r="N779" t="s">
        <v>822</v>
      </c>
      <c r="O779" t="s">
        <v>74</v>
      </c>
      <c r="P779" t="s">
        <v>74</v>
      </c>
      <c r="Q779" t="s">
        <v>74</v>
      </c>
      <c r="R779" t="s">
        <v>74</v>
      </c>
      <c r="S779" t="s">
        <v>74</v>
      </c>
      <c r="T779" t="s">
        <v>74</v>
      </c>
      <c r="U779" t="s">
        <v>74</v>
      </c>
      <c r="V779" t="s">
        <v>74</v>
      </c>
      <c r="W779" t="s">
        <v>74</v>
      </c>
      <c r="X779" t="s">
        <v>74</v>
      </c>
      <c r="Y779" t="s">
        <v>74</v>
      </c>
      <c r="Z779" t="s">
        <v>74</v>
      </c>
      <c r="AA779" t="s">
        <v>74</v>
      </c>
      <c r="AB779" t="s">
        <v>74</v>
      </c>
      <c r="AC779" t="s">
        <v>74</v>
      </c>
      <c r="AD779" t="s">
        <v>74</v>
      </c>
      <c r="AE779" t="s">
        <v>74</v>
      </c>
      <c r="AF779" t="s">
        <v>74</v>
      </c>
      <c r="AG779">
        <v>0</v>
      </c>
      <c r="AH779">
        <v>0</v>
      </c>
      <c r="AI779">
        <v>0</v>
      </c>
      <c r="AJ779">
        <v>0</v>
      </c>
      <c r="AK779">
        <v>3</v>
      </c>
      <c r="AL779" t="s">
        <v>11209</v>
      </c>
      <c r="AM779" t="s">
        <v>11210</v>
      </c>
      <c r="AN779" t="s">
        <v>11211</v>
      </c>
      <c r="AO779" t="s">
        <v>11212</v>
      </c>
      <c r="AP779" t="s">
        <v>74</v>
      </c>
      <c r="AQ779" t="s">
        <v>74</v>
      </c>
      <c r="AR779" t="s">
        <v>11208</v>
      </c>
      <c r="AS779" t="s">
        <v>11213</v>
      </c>
      <c r="AT779" t="s">
        <v>10978</v>
      </c>
      <c r="AU779">
        <v>2003</v>
      </c>
      <c r="AV779">
        <v>56</v>
      </c>
      <c r="AW779">
        <v>4</v>
      </c>
      <c r="AX779" t="s">
        <v>74</v>
      </c>
      <c r="AY779" t="s">
        <v>74</v>
      </c>
      <c r="AZ779" t="s">
        <v>74</v>
      </c>
      <c r="BA779" t="s">
        <v>74</v>
      </c>
      <c r="BB779" t="s">
        <v>11214</v>
      </c>
      <c r="BC779" t="s">
        <v>11215</v>
      </c>
      <c r="BD779" t="s">
        <v>74</v>
      </c>
      <c r="BE779" t="s">
        <v>74</v>
      </c>
      <c r="BF779" t="s">
        <v>74</v>
      </c>
      <c r="BG779" t="s">
        <v>74</v>
      </c>
      <c r="BH779" t="s">
        <v>74</v>
      </c>
      <c r="BI779">
        <v>2</v>
      </c>
      <c r="BJ779" t="s">
        <v>2650</v>
      </c>
      <c r="BK779" t="s">
        <v>96</v>
      </c>
      <c r="BL779" t="s">
        <v>2651</v>
      </c>
      <c r="BM779" t="s">
        <v>11216</v>
      </c>
      <c r="BN779" t="s">
        <v>74</v>
      </c>
      <c r="BO779" t="s">
        <v>74</v>
      </c>
      <c r="BP779" t="s">
        <v>74</v>
      </c>
      <c r="BQ779" t="s">
        <v>74</v>
      </c>
      <c r="BR779" t="s">
        <v>99</v>
      </c>
      <c r="BS779" t="s">
        <v>11217</v>
      </c>
      <c r="BT779" t="str">
        <f>HYPERLINK("https%3A%2F%2Fwww.webofscience.com%2Fwos%2Fwoscc%2Ffull-record%2FWOS:000188197700001","View Full Record in Web of Science")</f>
        <v>View Full Record in Web of Science</v>
      </c>
    </row>
    <row r="780" spans="1:72" x14ac:dyDescent="0.15">
      <c r="A780" t="s">
        <v>72</v>
      </c>
      <c r="B780" t="s">
        <v>11218</v>
      </c>
      <c r="C780" t="s">
        <v>74</v>
      </c>
      <c r="D780" t="s">
        <v>74</v>
      </c>
      <c r="E780" t="s">
        <v>74</v>
      </c>
      <c r="F780" t="s">
        <v>11218</v>
      </c>
      <c r="G780" t="s">
        <v>74</v>
      </c>
      <c r="H780" t="s">
        <v>74</v>
      </c>
      <c r="I780" t="s">
        <v>11219</v>
      </c>
      <c r="J780" t="s">
        <v>11220</v>
      </c>
      <c r="K780" t="s">
        <v>74</v>
      </c>
      <c r="L780" t="s">
        <v>74</v>
      </c>
      <c r="M780" t="s">
        <v>77</v>
      </c>
      <c r="N780" t="s">
        <v>78</v>
      </c>
      <c r="O780" t="s">
        <v>74</v>
      </c>
      <c r="P780" t="s">
        <v>74</v>
      </c>
      <c r="Q780" t="s">
        <v>74</v>
      </c>
      <c r="R780" t="s">
        <v>74</v>
      </c>
      <c r="S780" t="s">
        <v>74</v>
      </c>
      <c r="T780" t="s">
        <v>74</v>
      </c>
      <c r="U780" t="s">
        <v>11221</v>
      </c>
      <c r="V780" t="s">
        <v>11222</v>
      </c>
      <c r="W780" t="s">
        <v>11223</v>
      </c>
      <c r="X780" t="s">
        <v>11224</v>
      </c>
      <c r="Y780" t="s">
        <v>11225</v>
      </c>
      <c r="Z780" t="s">
        <v>11226</v>
      </c>
      <c r="AA780" t="s">
        <v>11227</v>
      </c>
      <c r="AB780" t="s">
        <v>11228</v>
      </c>
      <c r="AC780" t="s">
        <v>74</v>
      </c>
      <c r="AD780" t="s">
        <v>74</v>
      </c>
      <c r="AE780" t="s">
        <v>74</v>
      </c>
      <c r="AF780" t="s">
        <v>74</v>
      </c>
      <c r="AG780">
        <v>18</v>
      </c>
      <c r="AH780">
        <v>12</v>
      </c>
      <c r="AI780">
        <v>12</v>
      </c>
      <c r="AJ780">
        <v>0</v>
      </c>
      <c r="AK780">
        <v>2</v>
      </c>
      <c r="AL780" t="s">
        <v>11229</v>
      </c>
      <c r="AM780" t="s">
        <v>11230</v>
      </c>
      <c r="AN780" t="s">
        <v>11231</v>
      </c>
      <c r="AO780" t="s">
        <v>11232</v>
      </c>
      <c r="AP780" t="s">
        <v>11233</v>
      </c>
      <c r="AQ780" t="s">
        <v>74</v>
      </c>
      <c r="AR780" t="s">
        <v>11220</v>
      </c>
      <c r="AS780" t="s">
        <v>11234</v>
      </c>
      <c r="AT780" t="s">
        <v>11235</v>
      </c>
      <c r="AU780">
        <v>2003</v>
      </c>
      <c r="AV780">
        <v>106</v>
      </c>
      <c r="AW780">
        <v>4</v>
      </c>
      <c r="AX780" t="s">
        <v>74</v>
      </c>
      <c r="AY780" t="s">
        <v>74</v>
      </c>
      <c r="AZ780" t="s">
        <v>74</v>
      </c>
      <c r="BA780" t="s">
        <v>74</v>
      </c>
      <c r="BB780">
        <v>569</v>
      </c>
      <c r="BC780">
        <v>574</v>
      </c>
      <c r="BD780" t="s">
        <v>74</v>
      </c>
      <c r="BE780" t="s">
        <v>11236</v>
      </c>
      <c r="BF780" t="str">
        <f>HYPERLINK("http://dx.doi.org/10.1639/0007-2745(2003)106[569:SDANMS]2.0.CO;2","http://dx.doi.org/10.1639/0007-2745(2003)106[569:SDANMS]2.0.CO;2")</f>
        <v>http://dx.doi.org/10.1639/0007-2745(2003)106[569:SDANMS]2.0.CO;2</v>
      </c>
      <c r="BG780" t="s">
        <v>74</v>
      </c>
      <c r="BH780" t="s">
        <v>74</v>
      </c>
      <c r="BI780">
        <v>6</v>
      </c>
      <c r="BJ780" t="s">
        <v>1903</v>
      </c>
      <c r="BK780" t="s">
        <v>96</v>
      </c>
      <c r="BL780" t="s">
        <v>1903</v>
      </c>
      <c r="BM780" t="s">
        <v>11237</v>
      </c>
      <c r="BN780" t="s">
        <v>74</v>
      </c>
      <c r="BO780" t="s">
        <v>74</v>
      </c>
      <c r="BP780" t="s">
        <v>74</v>
      </c>
      <c r="BQ780" t="s">
        <v>74</v>
      </c>
      <c r="BR780" t="s">
        <v>99</v>
      </c>
      <c r="BS780" t="s">
        <v>11238</v>
      </c>
      <c r="BT780" t="str">
        <f>HYPERLINK("https%3A%2F%2Fwww.webofscience.com%2Fwos%2Fwoscc%2Ffull-record%2FWOS:000188206800009","View Full Record in Web of Science")</f>
        <v>View Full Record in Web of Science</v>
      </c>
    </row>
    <row r="781" spans="1:72" x14ac:dyDescent="0.15">
      <c r="A781" t="s">
        <v>72</v>
      </c>
      <c r="B781" t="s">
        <v>11239</v>
      </c>
      <c r="C781" t="s">
        <v>74</v>
      </c>
      <c r="D781" t="s">
        <v>74</v>
      </c>
      <c r="E781" t="s">
        <v>74</v>
      </c>
      <c r="F781" t="s">
        <v>11239</v>
      </c>
      <c r="G781" t="s">
        <v>74</v>
      </c>
      <c r="H781" t="s">
        <v>74</v>
      </c>
      <c r="I781" t="s">
        <v>11240</v>
      </c>
      <c r="J781" t="s">
        <v>11241</v>
      </c>
      <c r="K781" t="s">
        <v>74</v>
      </c>
      <c r="L781" t="s">
        <v>74</v>
      </c>
      <c r="M781" t="s">
        <v>77</v>
      </c>
      <c r="N781" t="s">
        <v>268</v>
      </c>
      <c r="O781" t="s">
        <v>74</v>
      </c>
      <c r="P781" t="s">
        <v>74</v>
      </c>
      <c r="Q781" t="s">
        <v>74</v>
      </c>
      <c r="R781" t="s">
        <v>74</v>
      </c>
      <c r="S781" t="s">
        <v>74</v>
      </c>
      <c r="T781" t="s">
        <v>74</v>
      </c>
      <c r="U781" t="s">
        <v>11242</v>
      </c>
      <c r="V781" t="s">
        <v>74</v>
      </c>
      <c r="W781" t="s">
        <v>7979</v>
      </c>
      <c r="X781" t="s">
        <v>7980</v>
      </c>
      <c r="Y781" t="s">
        <v>11243</v>
      </c>
      <c r="Z781" t="s">
        <v>74</v>
      </c>
      <c r="AA781" t="s">
        <v>74</v>
      </c>
      <c r="AB781" t="s">
        <v>74</v>
      </c>
      <c r="AC781" t="s">
        <v>74</v>
      </c>
      <c r="AD781" t="s">
        <v>74</v>
      </c>
      <c r="AE781" t="s">
        <v>74</v>
      </c>
      <c r="AF781" t="s">
        <v>74</v>
      </c>
      <c r="AG781">
        <v>107</v>
      </c>
      <c r="AH781">
        <v>15</v>
      </c>
      <c r="AI781">
        <v>17</v>
      </c>
      <c r="AJ781">
        <v>1</v>
      </c>
      <c r="AK781">
        <v>27</v>
      </c>
      <c r="AL781" t="s">
        <v>1254</v>
      </c>
      <c r="AM781" t="s">
        <v>364</v>
      </c>
      <c r="AN781" t="s">
        <v>1255</v>
      </c>
      <c r="AO781" t="s">
        <v>11244</v>
      </c>
      <c r="AP781" t="s">
        <v>74</v>
      </c>
      <c r="AQ781" t="s">
        <v>74</v>
      </c>
      <c r="AR781" t="s">
        <v>11245</v>
      </c>
      <c r="AS781" t="s">
        <v>11246</v>
      </c>
      <c r="AT781" t="s">
        <v>10978</v>
      </c>
      <c r="AU781">
        <v>2003</v>
      </c>
      <c r="AV781">
        <v>103</v>
      </c>
      <c r="AW781">
        <v>12</v>
      </c>
      <c r="AX781" t="s">
        <v>74</v>
      </c>
      <c r="AY781" t="s">
        <v>74</v>
      </c>
      <c r="AZ781" t="s">
        <v>74</v>
      </c>
      <c r="BA781" t="s">
        <v>74</v>
      </c>
      <c r="BB781">
        <v>4533</v>
      </c>
      <c r="BC781">
        <v>4548</v>
      </c>
      <c r="BD781" t="s">
        <v>74</v>
      </c>
      <c r="BE781" t="s">
        <v>11247</v>
      </c>
      <c r="BF781" t="str">
        <f>HYPERLINK("http://dx.doi.org/10.1021/cr020648p","http://dx.doi.org/10.1021/cr020648p")</f>
        <v>http://dx.doi.org/10.1021/cr020648p</v>
      </c>
      <c r="BG781" t="s">
        <v>74</v>
      </c>
      <c r="BH781" t="s">
        <v>74</v>
      </c>
      <c r="BI781">
        <v>16</v>
      </c>
      <c r="BJ781" t="s">
        <v>4137</v>
      </c>
      <c r="BK781" t="s">
        <v>96</v>
      </c>
      <c r="BL781" t="s">
        <v>2113</v>
      </c>
      <c r="BM781" t="s">
        <v>11248</v>
      </c>
      <c r="BN781">
        <v>14664621</v>
      </c>
      <c r="BO781" t="s">
        <v>74</v>
      </c>
      <c r="BP781" t="s">
        <v>74</v>
      </c>
      <c r="BQ781" t="s">
        <v>74</v>
      </c>
      <c r="BR781" t="s">
        <v>99</v>
      </c>
      <c r="BS781" t="s">
        <v>11249</v>
      </c>
      <c r="BT781" t="str">
        <f>HYPERLINK("https%3A%2F%2Fwww.webofscience.com%2Fwos%2Fwoscc%2Ffull-record%2FWOS:000187235500003","View Full Record in Web of Science")</f>
        <v>View Full Record in Web of Science</v>
      </c>
    </row>
    <row r="782" spans="1:72" x14ac:dyDescent="0.15">
      <c r="A782" t="s">
        <v>72</v>
      </c>
      <c r="B782" t="s">
        <v>11250</v>
      </c>
      <c r="C782" t="s">
        <v>74</v>
      </c>
      <c r="D782" t="s">
        <v>74</v>
      </c>
      <c r="E782" t="s">
        <v>74</v>
      </c>
      <c r="F782" t="s">
        <v>11250</v>
      </c>
      <c r="G782" t="s">
        <v>74</v>
      </c>
      <c r="H782" t="s">
        <v>74</v>
      </c>
      <c r="I782" t="s">
        <v>11251</v>
      </c>
      <c r="J782" t="s">
        <v>1159</v>
      </c>
      <c r="K782" t="s">
        <v>74</v>
      </c>
      <c r="L782" t="s">
        <v>74</v>
      </c>
      <c r="M782" t="s">
        <v>77</v>
      </c>
      <c r="N782" t="s">
        <v>78</v>
      </c>
      <c r="O782" t="s">
        <v>74</v>
      </c>
      <c r="P782" t="s">
        <v>74</v>
      </c>
      <c r="Q782" t="s">
        <v>74</v>
      </c>
      <c r="R782" t="s">
        <v>74</v>
      </c>
      <c r="S782" t="s">
        <v>74</v>
      </c>
      <c r="T782" t="s">
        <v>11252</v>
      </c>
      <c r="U782" t="s">
        <v>11253</v>
      </c>
      <c r="V782" t="s">
        <v>11254</v>
      </c>
      <c r="W782" t="s">
        <v>11255</v>
      </c>
      <c r="X782" t="s">
        <v>11256</v>
      </c>
      <c r="Y782" t="s">
        <v>11257</v>
      </c>
      <c r="Z782" t="s">
        <v>11258</v>
      </c>
      <c r="AA782" t="s">
        <v>74</v>
      </c>
      <c r="AB782" t="s">
        <v>74</v>
      </c>
      <c r="AC782" t="s">
        <v>74</v>
      </c>
      <c r="AD782" t="s">
        <v>74</v>
      </c>
      <c r="AE782" t="s">
        <v>74</v>
      </c>
      <c r="AF782" t="s">
        <v>74</v>
      </c>
      <c r="AG782">
        <v>20</v>
      </c>
      <c r="AH782">
        <v>62</v>
      </c>
      <c r="AI782">
        <v>66</v>
      </c>
      <c r="AJ782">
        <v>1</v>
      </c>
      <c r="AK782">
        <v>21</v>
      </c>
      <c r="AL782" t="s">
        <v>906</v>
      </c>
      <c r="AM782" t="s">
        <v>907</v>
      </c>
      <c r="AN782" t="s">
        <v>908</v>
      </c>
      <c r="AO782" t="s">
        <v>1167</v>
      </c>
      <c r="AP782" t="s">
        <v>1168</v>
      </c>
      <c r="AQ782" t="s">
        <v>74</v>
      </c>
      <c r="AR782" t="s">
        <v>1169</v>
      </c>
      <c r="AS782" t="s">
        <v>1170</v>
      </c>
      <c r="AT782" t="s">
        <v>10978</v>
      </c>
      <c r="AU782">
        <v>2003</v>
      </c>
      <c r="AV782">
        <v>48</v>
      </c>
      <c r="AW782" t="s">
        <v>74</v>
      </c>
      <c r="AX782" t="s">
        <v>74</v>
      </c>
      <c r="AY782">
        <v>2</v>
      </c>
      <c r="AZ782" t="s">
        <v>74</v>
      </c>
      <c r="BA782" t="s">
        <v>74</v>
      </c>
      <c r="BB782">
        <v>61</v>
      </c>
      <c r="BC782">
        <v>67</v>
      </c>
      <c r="BD782" t="s">
        <v>74</v>
      </c>
      <c r="BE782" t="s">
        <v>11259</v>
      </c>
      <c r="BF782" t="str">
        <f>HYPERLINK("http://dx.doi.org/10.1360/03wd0452","http://dx.doi.org/10.1360/03wd0452")</f>
        <v>http://dx.doi.org/10.1360/03wd0452</v>
      </c>
      <c r="BG782" t="s">
        <v>74</v>
      </c>
      <c r="BH782" t="s">
        <v>74</v>
      </c>
      <c r="BI782">
        <v>7</v>
      </c>
      <c r="BJ782" t="s">
        <v>454</v>
      </c>
      <c r="BK782" t="s">
        <v>96</v>
      </c>
      <c r="BL782" t="s">
        <v>455</v>
      </c>
      <c r="BM782" t="s">
        <v>11260</v>
      </c>
      <c r="BN782" t="s">
        <v>74</v>
      </c>
      <c r="BO782" t="s">
        <v>74</v>
      </c>
      <c r="BP782" t="s">
        <v>74</v>
      </c>
      <c r="BQ782" t="s">
        <v>74</v>
      </c>
      <c r="BR782" t="s">
        <v>99</v>
      </c>
      <c r="BS782" t="s">
        <v>11261</v>
      </c>
      <c r="BT782" t="str">
        <f>HYPERLINK("https%3A%2F%2Fwww.webofscience.com%2Fwos%2Fwoscc%2Ffull-record%2FWOS:000222497000010","View Full Record in Web of Science")</f>
        <v>View Full Record in Web of Science</v>
      </c>
    </row>
    <row r="783" spans="1:72" x14ac:dyDescent="0.15">
      <c r="A783" t="s">
        <v>72</v>
      </c>
      <c r="B783" t="s">
        <v>11262</v>
      </c>
      <c r="C783" t="s">
        <v>74</v>
      </c>
      <c r="D783" t="s">
        <v>74</v>
      </c>
      <c r="E783" t="s">
        <v>74</v>
      </c>
      <c r="F783" t="s">
        <v>11262</v>
      </c>
      <c r="G783" t="s">
        <v>74</v>
      </c>
      <c r="H783" t="s">
        <v>74</v>
      </c>
      <c r="I783" t="s">
        <v>11263</v>
      </c>
      <c r="J783" t="s">
        <v>1159</v>
      </c>
      <c r="K783" t="s">
        <v>74</v>
      </c>
      <c r="L783" t="s">
        <v>74</v>
      </c>
      <c r="M783" t="s">
        <v>77</v>
      </c>
      <c r="N783" t="s">
        <v>78</v>
      </c>
      <c r="O783" t="s">
        <v>74</v>
      </c>
      <c r="P783" t="s">
        <v>74</v>
      </c>
      <c r="Q783" t="s">
        <v>74</v>
      </c>
      <c r="R783" t="s">
        <v>74</v>
      </c>
      <c r="S783" t="s">
        <v>74</v>
      </c>
      <c r="T783" t="s">
        <v>11264</v>
      </c>
      <c r="U783" t="s">
        <v>11265</v>
      </c>
      <c r="V783" t="s">
        <v>11266</v>
      </c>
      <c r="W783" t="s">
        <v>11267</v>
      </c>
      <c r="X783" t="s">
        <v>11268</v>
      </c>
      <c r="Y783" t="s">
        <v>11269</v>
      </c>
      <c r="Z783" t="s">
        <v>74</v>
      </c>
      <c r="AA783" t="s">
        <v>11270</v>
      </c>
      <c r="AB783" t="s">
        <v>74</v>
      </c>
      <c r="AC783" t="s">
        <v>74</v>
      </c>
      <c r="AD783" t="s">
        <v>74</v>
      </c>
      <c r="AE783" t="s">
        <v>74</v>
      </c>
      <c r="AF783" t="s">
        <v>74</v>
      </c>
      <c r="AG783">
        <v>44</v>
      </c>
      <c r="AH783">
        <v>69</v>
      </c>
      <c r="AI783">
        <v>102</v>
      </c>
      <c r="AJ783">
        <v>0</v>
      </c>
      <c r="AK783">
        <v>26</v>
      </c>
      <c r="AL783" t="s">
        <v>906</v>
      </c>
      <c r="AM783" t="s">
        <v>907</v>
      </c>
      <c r="AN783" t="s">
        <v>908</v>
      </c>
      <c r="AO783" t="s">
        <v>1167</v>
      </c>
      <c r="AP783" t="s">
        <v>1168</v>
      </c>
      <c r="AQ783" t="s">
        <v>74</v>
      </c>
      <c r="AR783" t="s">
        <v>1169</v>
      </c>
      <c r="AS783" t="s">
        <v>1170</v>
      </c>
      <c r="AT783" t="s">
        <v>10978</v>
      </c>
      <c r="AU783">
        <v>2003</v>
      </c>
      <c r="AV783">
        <v>48</v>
      </c>
      <c r="AW783">
        <v>23</v>
      </c>
      <c r="AX783" t="s">
        <v>74</v>
      </c>
      <c r="AY783" t="s">
        <v>74</v>
      </c>
      <c r="AZ783" t="s">
        <v>74</v>
      </c>
      <c r="BA783" t="s">
        <v>74</v>
      </c>
      <c r="BB783">
        <v>2524</v>
      </c>
      <c r="BC783">
        <v>2535</v>
      </c>
      <c r="BD783" t="s">
        <v>74</v>
      </c>
      <c r="BE783" t="s">
        <v>11271</v>
      </c>
      <c r="BF783" t="str">
        <f>HYPERLINK("http://dx.doi.org/10.1007/BF03037016","http://dx.doi.org/10.1007/BF03037016")</f>
        <v>http://dx.doi.org/10.1007/BF03037016</v>
      </c>
      <c r="BG783" t="s">
        <v>74</v>
      </c>
      <c r="BH783" t="s">
        <v>74</v>
      </c>
      <c r="BI783">
        <v>12</v>
      </c>
      <c r="BJ783" t="s">
        <v>454</v>
      </c>
      <c r="BK783" t="s">
        <v>96</v>
      </c>
      <c r="BL783" t="s">
        <v>455</v>
      </c>
      <c r="BM783" t="s">
        <v>11272</v>
      </c>
      <c r="BN783" t="s">
        <v>74</v>
      </c>
      <c r="BO783" t="s">
        <v>74</v>
      </c>
      <c r="BP783" t="s">
        <v>74</v>
      </c>
      <c r="BQ783" t="s">
        <v>74</v>
      </c>
      <c r="BR783" t="s">
        <v>99</v>
      </c>
      <c r="BS783" t="s">
        <v>11273</v>
      </c>
      <c r="BT783" t="str">
        <f>HYPERLINK("https%3A%2F%2Fwww.webofscience.com%2Fwos%2Fwoscc%2Ffull-record%2FWOS:000187511000002","View Full Record in Web of Science")</f>
        <v>View Full Record in Web of Science</v>
      </c>
    </row>
    <row r="784" spans="1:72" x14ac:dyDescent="0.15">
      <c r="A784" t="s">
        <v>72</v>
      </c>
      <c r="B784" t="s">
        <v>11274</v>
      </c>
      <c r="C784" t="s">
        <v>74</v>
      </c>
      <c r="D784" t="s">
        <v>74</v>
      </c>
      <c r="E784" t="s">
        <v>74</v>
      </c>
      <c r="F784" t="s">
        <v>11274</v>
      </c>
      <c r="G784" t="s">
        <v>74</v>
      </c>
      <c r="H784" t="s">
        <v>74</v>
      </c>
      <c r="I784" t="s">
        <v>11275</v>
      </c>
      <c r="J784" t="s">
        <v>11276</v>
      </c>
      <c r="K784" t="s">
        <v>74</v>
      </c>
      <c r="L784" t="s">
        <v>74</v>
      </c>
      <c r="M784" t="s">
        <v>11277</v>
      </c>
      <c r="N784" t="s">
        <v>78</v>
      </c>
      <c r="O784" t="s">
        <v>74</v>
      </c>
      <c r="P784" t="s">
        <v>74</v>
      </c>
      <c r="Q784" t="s">
        <v>74</v>
      </c>
      <c r="R784" t="s">
        <v>74</v>
      </c>
      <c r="S784" t="s">
        <v>74</v>
      </c>
      <c r="T784" t="s">
        <v>11278</v>
      </c>
      <c r="U784" t="s">
        <v>11279</v>
      </c>
      <c r="V784" t="s">
        <v>11280</v>
      </c>
      <c r="W784" t="s">
        <v>11281</v>
      </c>
      <c r="X784" t="s">
        <v>74</v>
      </c>
      <c r="Y784" t="s">
        <v>11282</v>
      </c>
      <c r="Z784" t="s">
        <v>74</v>
      </c>
      <c r="AA784" t="s">
        <v>74</v>
      </c>
      <c r="AB784" t="s">
        <v>74</v>
      </c>
      <c r="AC784" t="s">
        <v>74</v>
      </c>
      <c r="AD784" t="s">
        <v>74</v>
      </c>
      <c r="AE784" t="s">
        <v>74</v>
      </c>
      <c r="AF784" t="s">
        <v>74</v>
      </c>
      <c r="AG784">
        <v>45</v>
      </c>
      <c r="AH784">
        <v>19</v>
      </c>
      <c r="AI784">
        <v>20</v>
      </c>
      <c r="AJ784">
        <v>2</v>
      </c>
      <c r="AK784">
        <v>6</v>
      </c>
      <c r="AL784" t="s">
        <v>11283</v>
      </c>
      <c r="AM784" t="s">
        <v>11284</v>
      </c>
      <c r="AN784" t="s">
        <v>11285</v>
      </c>
      <c r="AO784" t="s">
        <v>11286</v>
      </c>
      <c r="AP784" t="s">
        <v>74</v>
      </c>
      <c r="AQ784" t="s">
        <v>74</v>
      </c>
      <c r="AR784" t="s">
        <v>11287</v>
      </c>
      <c r="AS784" t="s">
        <v>11288</v>
      </c>
      <c r="AT784" t="s">
        <v>10978</v>
      </c>
      <c r="AU784">
        <v>2003</v>
      </c>
      <c r="AV784">
        <v>29</v>
      </c>
      <c r="AW784" t="s">
        <v>11289</v>
      </c>
      <c r="AX784" t="s">
        <v>74</v>
      </c>
      <c r="AY784" t="s">
        <v>74</v>
      </c>
      <c r="AZ784" t="s">
        <v>74</v>
      </c>
      <c r="BA784" t="s">
        <v>74</v>
      </c>
      <c r="BB784">
        <v>573</v>
      </c>
      <c r="BC784">
        <v>583</v>
      </c>
      <c r="BD784" t="s">
        <v>74</v>
      </c>
      <c r="BE784" t="s">
        <v>11290</v>
      </c>
      <c r="BF784" t="str">
        <f>HYPERLINK("http://dx.doi.org/10.7773/cm.v29i42.199","http://dx.doi.org/10.7773/cm.v29i42.199")</f>
        <v>http://dx.doi.org/10.7773/cm.v29i42.199</v>
      </c>
      <c r="BG784" t="s">
        <v>74</v>
      </c>
      <c r="BH784" t="s">
        <v>74</v>
      </c>
      <c r="BI784">
        <v>11</v>
      </c>
      <c r="BJ784" t="s">
        <v>1770</v>
      </c>
      <c r="BK784" t="s">
        <v>96</v>
      </c>
      <c r="BL784" t="s">
        <v>1770</v>
      </c>
      <c r="BM784" t="s">
        <v>11291</v>
      </c>
      <c r="BN784" t="s">
        <v>74</v>
      </c>
      <c r="BO784" t="s">
        <v>11292</v>
      </c>
      <c r="BP784" t="s">
        <v>74</v>
      </c>
      <c r="BQ784" t="s">
        <v>74</v>
      </c>
      <c r="BR784" t="s">
        <v>99</v>
      </c>
      <c r="BS784" t="s">
        <v>11293</v>
      </c>
      <c r="BT784" t="str">
        <f>HYPERLINK("https%3A%2F%2Fwww.webofscience.com%2Fwos%2Fwoscc%2Ffull-record%2FWOS:000187251800001","View Full Record in Web of Science")</f>
        <v>View Full Record in Web of Science</v>
      </c>
    </row>
    <row r="785" spans="1:72" x14ac:dyDescent="0.15">
      <c r="A785" t="s">
        <v>72</v>
      </c>
      <c r="B785" t="s">
        <v>11294</v>
      </c>
      <c r="C785" t="s">
        <v>74</v>
      </c>
      <c r="D785" t="s">
        <v>74</v>
      </c>
      <c r="E785" t="s">
        <v>74</v>
      </c>
      <c r="F785" t="s">
        <v>11294</v>
      </c>
      <c r="G785" t="s">
        <v>74</v>
      </c>
      <c r="H785" t="s">
        <v>74</v>
      </c>
      <c r="I785" t="s">
        <v>11295</v>
      </c>
      <c r="J785" t="s">
        <v>1176</v>
      </c>
      <c r="K785" t="s">
        <v>74</v>
      </c>
      <c r="L785" t="s">
        <v>74</v>
      </c>
      <c r="M785" t="s">
        <v>77</v>
      </c>
      <c r="N785" t="s">
        <v>311</v>
      </c>
      <c r="O785" t="s">
        <v>11296</v>
      </c>
      <c r="P785" t="s">
        <v>11297</v>
      </c>
      <c r="Q785" t="s">
        <v>11298</v>
      </c>
      <c r="R785" t="s">
        <v>74</v>
      </c>
      <c r="S785" t="s">
        <v>74</v>
      </c>
      <c r="T785" t="s">
        <v>11299</v>
      </c>
      <c r="U785" t="s">
        <v>11300</v>
      </c>
      <c r="V785" t="s">
        <v>11301</v>
      </c>
      <c r="W785" t="s">
        <v>11302</v>
      </c>
      <c r="X785" t="s">
        <v>11303</v>
      </c>
      <c r="Y785" t="s">
        <v>11304</v>
      </c>
      <c r="Z785" t="s">
        <v>11305</v>
      </c>
      <c r="AA785" t="s">
        <v>11306</v>
      </c>
      <c r="AB785" t="s">
        <v>74</v>
      </c>
      <c r="AC785" t="s">
        <v>74</v>
      </c>
      <c r="AD785" t="s">
        <v>74</v>
      </c>
      <c r="AE785" t="s">
        <v>74</v>
      </c>
      <c r="AF785" t="s">
        <v>74</v>
      </c>
      <c r="AG785">
        <v>73</v>
      </c>
      <c r="AH785">
        <v>27</v>
      </c>
      <c r="AI785">
        <v>30</v>
      </c>
      <c r="AJ785">
        <v>3</v>
      </c>
      <c r="AK785">
        <v>46</v>
      </c>
      <c r="AL785" t="s">
        <v>235</v>
      </c>
      <c r="AM785" t="s">
        <v>87</v>
      </c>
      <c r="AN785" t="s">
        <v>1203</v>
      </c>
      <c r="AO785" t="s">
        <v>1184</v>
      </c>
      <c r="AP785" t="s">
        <v>1185</v>
      </c>
      <c r="AQ785" t="s">
        <v>74</v>
      </c>
      <c r="AR785" t="s">
        <v>1186</v>
      </c>
      <c r="AS785" t="s">
        <v>1187</v>
      </c>
      <c r="AT785" t="s">
        <v>10978</v>
      </c>
      <c r="AU785">
        <v>2003</v>
      </c>
      <c r="AV785">
        <v>136</v>
      </c>
      <c r="AW785">
        <v>4</v>
      </c>
      <c r="AX785" t="s">
        <v>74</v>
      </c>
      <c r="AY785" t="s">
        <v>74</v>
      </c>
      <c r="AZ785" t="s">
        <v>74</v>
      </c>
      <c r="BA785" t="s">
        <v>74</v>
      </c>
      <c r="BB785">
        <v>701</v>
      </c>
      <c r="BC785">
        <v>713</v>
      </c>
      <c r="BD785" t="s">
        <v>74</v>
      </c>
      <c r="BE785" t="s">
        <v>11307</v>
      </c>
      <c r="BF785" t="str">
        <f>HYPERLINK("http://dx.doi.org/10.1016/S1096-4959(03)00258-6","http://dx.doi.org/10.1016/S1096-4959(03)00258-6")</f>
        <v>http://dx.doi.org/10.1016/S1096-4959(03)00258-6</v>
      </c>
      <c r="BG785" t="s">
        <v>74</v>
      </c>
      <c r="BH785" t="s">
        <v>74</v>
      </c>
      <c r="BI785">
        <v>13</v>
      </c>
      <c r="BJ785" t="s">
        <v>1189</v>
      </c>
      <c r="BK785" t="s">
        <v>332</v>
      </c>
      <c r="BL785" t="s">
        <v>1189</v>
      </c>
      <c r="BM785" t="s">
        <v>11308</v>
      </c>
      <c r="BN785">
        <v>14662295</v>
      </c>
      <c r="BO785" t="s">
        <v>74</v>
      </c>
      <c r="BP785" t="s">
        <v>74</v>
      </c>
      <c r="BQ785" t="s">
        <v>74</v>
      </c>
      <c r="BR785" t="s">
        <v>99</v>
      </c>
      <c r="BS785" t="s">
        <v>11309</v>
      </c>
      <c r="BT785" t="str">
        <f>HYPERLINK("https%3A%2F%2Fwww.webofscience.com%2Fwos%2Fwoscc%2Ffull-record%2FWOS:000187366400010","View Full Record in Web of Science")</f>
        <v>View Full Record in Web of Science</v>
      </c>
    </row>
    <row r="786" spans="1:72" x14ac:dyDescent="0.15">
      <c r="A786" t="s">
        <v>72</v>
      </c>
      <c r="B786" t="s">
        <v>11310</v>
      </c>
      <c r="C786" t="s">
        <v>74</v>
      </c>
      <c r="D786" t="s">
        <v>74</v>
      </c>
      <c r="E786" t="s">
        <v>74</v>
      </c>
      <c r="F786" t="s">
        <v>11310</v>
      </c>
      <c r="G786" t="s">
        <v>74</v>
      </c>
      <c r="H786" t="s">
        <v>74</v>
      </c>
      <c r="I786" t="s">
        <v>11311</v>
      </c>
      <c r="J786" t="s">
        <v>11312</v>
      </c>
      <c r="K786" t="s">
        <v>74</v>
      </c>
      <c r="L786" t="s">
        <v>74</v>
      </c>
      <c r="M786" t="s">
        <v>77</v>
      </c>
      <c r="N786" t="s">
        <v>78</v>
      </c>
      <c r="O786" t="s">
        <v>74</v>
      </c>
      <c r="P786" t="s">
        <v>74</v>
      </c>
      <c r="Q786" t="s">
        <v>74</v>
      </c>
      <c r="R786" t="s">
        <v>74</v>
      </c>
      <c r="S786" t="s">
        <v>74</v>
      </c>
      <c r="T786" t="s">
        <v>11313</v>
      </c>
      <c r="U786" t="s">
        <v>11314</v>
      </c>
      <c r="V786" t="s">
        <v>11315</v>
      </c>
      <c r="W786" t="s">
        <v>11316</v>
      </c>
      <c r="X786" t="s">
        <v>11317</v>
      </c>
      <c r="Y786" t="s">
        <v>11318</v>
      </c>
      <c r="Z786" t="s">
        <v>11319</v>
      </c>
      <c r="AA786" t="s">
        <v>74</v>
      </c>
      <c r="AB786" t="s">
        <v>11320</v>
      </c>
      <c r="AC786" t="s">
        <v>74</v>
      </c>
      <c r="AD786" t="s">
        <v>74</v>
      </c>
      <c r="AE786" t="s">
        <v>74</v>
      </c>
      <c r="AF786" t="s">
        <v>74</v>
      </c>
      <c r="AG786">
        <v>32</v>
      </c>
      <c r="AH786">
        <v>5</v>
      </c>
      <c r="AI786">
        <v>6</v>
      </c>
      <c r="AJ786">
        <v>0</v>
      </c>
      <c r="AK786">
        <v>6</v>
      </c>
      <c r="AL786" t="s">
        <v>86</v>
      </c>
      <c r="AM786" t="s">
        <v>87</v>
      </c>
      <c r="AN786" t="s">
        <v>2007</v>
      </c>
      <c r="AO786" t="s">
        <v>11321</v>
      </c>
      <c r="AP786" t="s">
        <v>11322</v>
      </c>
      <c r="AQ786" t="s">
        <v>74</v>
      </c>
      <c r="AR786" t="s">
        <v>11323</v>
      </c>
      <c r="AS786" t="s">
        <v>11324</v>
      </c>
      <c r="AT786" t="s">
        <v>10978</v>
      </c>
      <c r="AU786">
        <v>2003</v>
      </c>
      <c r="AV786">
        <v>44</v>
      </c>
      <c r="AW786">
        <v>4</v>
      </c>
      <c r="AX786" t="s">
        <v>74</v>
      </c>
      <c r="AY786" t="s">
        <v>74</v>
      </c>
      <c r="AZ786" t="s">
        <v>74</v>
      </c>
      <c r="BA786" t="s">
        <v>74</v>
      </c>
      <c r="BB786">
        <v>224</v>
      </c>
      <c r="BC786">
        <v>230</v>
      </c>
      <c r="BD786" t="s">
        <v>74</v>
      </c>
      <c r="BE786" t="s">
        <v>11325</v>
      </c>
      <c r="BF786" t="str">
        <f>HYPERLINK("http://dx.doi.org/10.1007/s00294-003-0440-1","http://dx.doi.org/10.1007/s00294-003-0440-1")</f>
        <v>http://dx.doi.org/10.1007/s00294-003-0440-1</v>
      </c>
      <c r="BG786" t="s">
        <v>74</v>
      </c>
      <c r="BH786" t="s">
        <v>74</v>
      </c>
      <c r="BI786">
        <v>7</v>
      </c>
      <c r="BJ786" t="s">
        <v>11326</v>
      </c>
      <c r="BK786" t="s">
        <v>96</v>
      </c>
      <c r="BL786" t="s">
        <v>11326</v>
      </c>
      <c r="BM786" t="s">
        <v>11327</v>
      </c>
      <c r="BN786">
        <v>13680154</v>
      </c>
      <c r="BO786" t="s">
        <v>74</v>
      </c>
      <c r="BP786" t="s">
        <v>74</v>
      </c>
      <c r="BQ786" t="s">
        <v>74</v>
      </c>
      <c r="BR786" t="s">
        <v>99</v>
      </c>
      <c r="BS786" t="s">
        <v>11328</v>
      </c>
      <c r="BT786" t="str">
        <f>HYPERLINK("https%3A%2F%2Fwww.webofscience.com%2Fwos%2Fwoscc%2Ffull-record%2FWOS:000186823000007","View Full Record in Web of Science")</f>
        <v>View Full Record in Web of Science</v>
      </c>
    </row>
    <row r="787" spans="1:72" x14ac:dyDescent="0.15">
      <c r="A787" t="s">
        <v>72</v>
      </c>
      <c r="B787" t="s">
        <v>11329</v>
      </c>
      <c r="C787" t="s">
        <v>74</v>
      </c>
      <c r="D787" t="s">
        <v>74</v>
      </c>
      <c r="E787" t="s">
        <v>74</v>
      </c>
      <c r="F787" t="s">
        <v>11329</v>
      </c>
      <c r="G787" t="s">
        <v>74</v>
      </c>
      <c r="H787" t="s">
        <v>74</v>
      </c>
      <c r="I787" t="s">
        <v>11330</v>
      </c>
      <c r="J787" t="s">
        <v>1999</v>
      </c>
      <c r="K787" t="s">
        <v>74</v>
      </c>
      <c r="L787" t="s">
        <v>74</v>
      </c>
      <c r="M787" t="s">
        <v>77</v>
      </c>
      <c r="N787" t="s">
        <v>78</v>
      </c>
      <c r="O787" t="s">
        <v>74</v>
      </c>
      <c r="P787" t="s">
        <v>74</v>
      </c>
      <c r="Q787" t="s">
        <v>74</v>
      </c>
      <c r="R787" t="s">
        <v>74</v>
      </c>
      <c r="S787" t="s">
        <v>74</v>
      </c>
      <c r="T787" t="s">
        <v>11331</v>
      </c>
      <c r="U787" t="s">
        <v>11332</v>
      </c>
      <c r="V787" t="s">
        <v>11333</v>
      </c>
      <c r="W787" t="s">
        <v>11334</v>
      </c>
      <c r="X787" t="s">
        <v>11335</v>
      </c>
      <c r="Y787" t="s">
        <v>74</v>
      </c>
      <c r="Z787" t="s">
        <v>11336</v>
      </c>
      <c r="AA787" t="s">
        <v>11337</v>
      </c>
      <c r="AB787" t="s">
        <v>11338</v>
      </c>
      <c r="AC787" t="s">
        <v>74</v>
      </c>
      <c r="AD787" t="s">
        <v>74</v>
      </c>
      <c r="AE787" t="s">
        <v>74</v>
      </c>
      <c r="AF787" t="s">
        <v>74</v>
      </c>
      <c r="AG787">
        <v>51</v>
      </c>
      <c r="AH787">
        <v>87</v>
      </c>
      <c r="AI787">
        <v>104</v>
      </c>
      <c r="AJ787">
        <v>1</v>
      </c>
      <c r="AK787">
        <v>32</v>
      </c>
      <c r="AL787" t="s">
        <v>198</v>
      </c>
      <c r="AM787" t="s">
        <v>178</v>
      </c>
      <c r="AN787" t="s">
        <v>179</v>
      </c>
      <c r="AO787" t="s">
        <v>2924</v>
      </c>
      <c r="AP787" t="s">
        <v>2925</v>
      </c>
      <c r="AQ787" t="s">
        <v>74</v>
      </c>
      <c r="AR787" t="s">
        <v>1999</v>
      </c>
      <c r="AS787" t="s">
        <v>2926</v>
      </c>
      <c r="AT787" t="s">
        <v>10978</v>
      </c>
      <c r="AU787">
        <v>2003</v>
      </c>
      <c r="AV787">
        <v>84</v>
      </c>
      <c r="AW787">
        <v>12</v>
      </c>
      <c r="AX787" t="s">
        <v>74</v>
      </c>
      <c r="AY787" t="s">
        <v>74</v>
      </c>
      <c r="AZ787" t="s">
        <v>74</v>
      </c>
      <c r="BA787" t="s">
        <v>74</v>
      </c>
      <c r="BB787">
        <v>3265</v>
      </c>
      <c r="BC787">
        <v>3275</v>
      </c>
      <c r="BD787" t="s">
        <v>74</v>
      </c>
      <c r="BE787" t="s">
        <v>11339</v>
      </c>
      <c r="BF787" t="str">
        <f>HYPERLINK("http://dx.doi.org/10.1890/01-4098","http://dx.doi.org/10.1890/01-4098")</f>
        <v>http://dx.doi.org/10.1890/01-4098</v>
      </c>
      <c r="BG787" t="s">
        <v>74</v>
      </c>
      <c r="BH787" t="s">
        <v>74</v>
      </c>
      <c r="BI787">
        <v>11</v>
      </c>
      <c r="BJ787" t="s">
        <v>2926</v>
      </c>
      <c r="BK787" t="s">
        <v>96</v>
      </c>
      <c r="BL787" t="s">
        <v>144</v>
      </c>
      <c r="BM787" t="s">
        <v>11340</v>
      </c>
      <c r="BN787" t="s">
        <v>74</v>
      </c>
      <c r="BO787" t="s">
        <v>74</v>
      </c>
      <c r="BP787" t="s">
        <v>74</v>
      </c>
      <c r="BQ787" t="s">
        <v>74</v>
      </c>
      <c r="BR787" t="s">
        <v>99</v>
      </c>
      <c r="BS787" t="s">
        <v>11341</v>
      </c>
      <c r="BT787" t="str">
        <f>HYPERLINK("https%3A%2F%2Fwww.webofscience.com%2Fwos%2Fwoscc%2Ffull-record%2FWOS:000187973500016","View Full Record in Web of Science")</f>
        <v>View Full Record in Web of Science</v>
      </c>
    </row>
    <row r="788" spans="1:72" x14ac:dyDescent="0.15">
      <c r="A788" t="s">
        <v>72</v>
      </c>
      <c r="B788" t="s">
        <v>11342</v>
      </c>
      <c r="C788" t="s">
        <v>74</v>
      </c>
      <c r="D788" t="s">
        <v>74</v>
      </c>
      <c r="E788" t="s">
        <v>74</v>
      </c>
      <c r="F788" t="s">
        <v>11342</v>
      </c>
      <c r="G788" t="s">
        <v>74</v>
      </c>
      <c r="H788" t="s">
        <v>74</v>
      </c>
      <c r="I788" t="s">
        <v>11343</v>
      </c>
      <c r="J788" t="s">
        <v>11344</v>
      </c>
      <c r="K788" t="s">
        <v>74</v>
      </c>
      <c r="L788" t="s">
        <v>74</v>
      </c>
      <c r="M788" t="s">
        <v>77</v>
      </c>
      <c r="N788" t="s">
        <v>78</v>
      </c>
      <c r="O788" t="s">
        <v>74</v>
      </c>
      <c r="P788" t="s">
        <v>74</v>
      </c>
      <c r="Q788" t="s">
        <v>74</v>
      </c>
      <c r="R788" t="s">
        <v>74</v>
      </c>
      <c r="S788" t="s">
        <v>74</v>
      </c>
      <c r="T788" t="s">
        <v>74</v>
      </c>
      <c r="U788" t="s">
        <v>11345</v>
      </c>
      <c r="V788" t="s">
        <v>74</v>
      </c>
      <c r="W788" t="s">
        <v>11346</v>
      </c>
      <c r="X788" t="s">
        <v>11347</v>
      </c>
      <c r="Y788" t="s">
        <v>11348</v>
      </c>
      <c r="Z788" t="s">
        <v>11349</v>
      </c>
      <c r="AA788" t="s">
        <v>11350</v>
      </c>
      <c r="AB788" t="s">
        <v>11351</v>
      </c>
      <c r="AC788" t="s">
        <v>74</v>
      </c>
      <c r="AD788" t="s">
        <v>74</v>
      </c>
      <c r="AE788" t="s">
        <v>74</v>
      </c>
      <c r="AF788" t="s">
        <v>74</v>
      </c>
      <c r="AG788">
        <v>13</v>
      </c>
      <c r="AH788">
        <v>23</v>
      </c>
      <c r="AI788">
        <v>28</v>
      </c>
      <c r="AJ788">
        <v>3</v>
      </c>
      <c r="AK788">
        <v>13</v>
      </c>
      <c r="AL788" t="s">
        <v>11352</v>
      </c>
      <c r="AM788" t="s">
        <v>1417</v>
      </c>
      <c r="AN788" t="s">
        <v>3011</v>
      </c>
      <c r="AO788" t="s">
        <v>11353</v>
      </c>
      <c r="AP788" t="s">
        <v>11354</v>
      </c>
      <c r="AQ788" t="s">
        <v>74</v>
      </c>
      <c r="AR788" t="s">
        <v>11355</v>
      </c>
      <c r="AS788" t="s">
        <v>11356</v>
      </c>
      <c r="AT788" t="s">
        <v>10978</v>
      </c>
      <c r="AU788">
        <v>2003</v>
      </c>
      <c r="AV788">
        <v>58</v>
      </c>
      <c r="AW788">
        <v>4</v>
      </c>
      <c r="AX788" t="s">
        <v>74</v>
      </c>
      <c r="AY788" t="s">
        <v>74</v>
      </c>
      <c r="AZ788" t="s">
        <v>74</v>
      </c>
      <c r="BA788" t="s">
        <v>74</v>
      </c>
      <c r="BB788">
        <v>699</v>
      </c>
      <c r="BC788">
        <v>702</v>
      </c>
      <c r="BD788" t="s">
        <v>74</v>
      </c>
      <c r="BE788" t="s">
        <v>11357</v>
      </c>
      <c r="BF788" t="str">
        <f>HYPERLINK("http://dx.doi.org/10.1016/j.ecss.2003.08.010","http://dx.doi.org/10.1016/j.ecss.2003.08.010")</f>
        <v>http://dx.doi.org/10.1016/j.ecss.2003.08.010</v>
      </c>
      <c r="BG788" t="s">
        <v>74</v>
      </c>
      <c r="BH788" t="s">
        <v>74</v>
      </c>
      <c r="BI788">
        <v>4</v>
      </c>
      <c r="BJ788" t="s">
        <v>3192</v>
      </c>
      <c r="BK788" t="s">
        <v>96</v>
      </c>
      <c r="BL788" t="s">
        <v>3192</v>
      </c>
      <c r="BM788" t="s">
        <v>11358</v>
      </c>
      <c r="BN788" t="s">
        <v>74</v>
      </c>
      <c r="BO788" t="s">
        <v>74</v>
      </c>
      <c r="BP788" t="s">
        <v>74</v>
      </c>
      <c r="BQ788" t="s">
        <v>74</v>
      </c>
      <c r="BR788" t="s">
        <v>99</v>
      </c>
      <c r="BS788" t="s">
        <v>11359</v>
      </c>
      <c r="BT788" t="str">
        <f>HYPERLINK("https%3A%2F%2Fwww.webofscience.com%2Fwos%2Fwoscc%2Ffull-record%2FWOS:000187247700001","View Full Record in Web of Science")</f>
        <v>View Full Record in Web of Science</v>
      </c>
    </row>
    <row r="789" spans="1:72" x14ac:dyDescent="0.15">
      <c r="A789" t="s">
        <v>72</v>
      </c>
      <c r="B789" t="s">
        <v>11360</v>
      </c>
      <c r="C789" t="s">
        <v>74</v>
      </c>
      <c r="D789" t="s">
        <v>74</v>
      </c>
      <c r="E789" t="s">
        <v>74</v>
      </c>
      <c r="F789" t="s">
        <v>11360</v>
      </c>
      <c r="G789" t="s">
        <v>74</v>
      </c>
      <c r="H789" t="s">
        <v>74</v>
      </c>
      <c r="I789" t="s">
        <v>11361</v>
      </c>
      <c r="J789" t="s">
        <v>11362</v>
      </c>
      <c r="K789" t="s">
        <v>74</v>
      </c>
      <c r="L789" t="s">
        <v>74</v>
      </c>
      <c r="M789" t="s">
        <v>77</v>
      </c>
      <c r="N789" t="s">
        <v>311</v>
      </c>
      <c r="O789" t="s">
        <v>11363</v>
      </c>
      <c r="P789" t="s">
        <v>9017</v>
      </c>
      <c r="Q789" t="s">
        <v>11364</v>
      </c>
      <c r="R789" t="s">
        <v>74</v>
      </c>
      <c r="S789" t="s">
        <v>74</v>
      </c>
      <c r="T789" t="s">
        <v>11365</v>
      </c>
      <c r="U789" t="s">
        <v>11366</v>
      </c>
      <c r="V789" t="s">
        <v>11367</v>
      </c>
      <c r="W789" t="s">
        <v>11368</v>
      </c>
      <c r="X789" t="s">
        <v>11369</v>
      </c>
      <c r="Y789" t="s">
        <v>11370</v>
      </c>
      <c r="Z789" t="s">
        <v>998</v>
      </c>
      <c r="AA789" t="s">
        <v>74</v>
      </c>
      <c r="AB789" t="s">
        <v>11371</v>
      </c>
      <c r="AC789" t="s">
        <v>74</v>
      </c>
      <c r="AD789" t="s">
        <v>74</v>
      </c>
      <c r="AE789" t="s">
        <v>74</v>
      </c>
      <c r="AF789" t="s">
        <v>74</v>
      </c>
      <c r="AG789">
        <v>26</v>
      </c>
      <c r="AH789">
        <v>6</v>
      </c>
      <c r="AI789">
        <v>6</v>
      </c>
      <c r="AJ789">
        <v>0</v>
      </c>
      <c r="AK789">
        <v>0</v>
      </c>
      <c r="AL789" t="s">
        <v>8932</v>
      </c>
      <c r="AM789" t="s">
        <v>2086</v>
      </c>
      <c r="AN789" t="s">
        <v>8933</v>
      </c>
      <c r="AO789" t="s">
        <v>11372</v>
      </c>
      <c r="AP789" t="s">
        <v>11373</v>
      </c>
      <c r="AQ789" t="s">
        <v>74</v>
      </c>
      <c r="AR789" t="s">
        <v>11374</v>
      </c>
      <c r="AS789" t="s">
        <v>11375</v>
      </c>
      <c r="AT789" t="s">
        <v>10978</v>
      </c>
      <c r="AU789">
        <v>2003</v>
      </c>
      <c r="AV789">
        <v>39</v>
      </c>
      <c r="AW789">
        <v>4</v>
      </c>
      <c r="AX789" t="s">
        <v>74</v>
      </c>
      <c r="AY789" t="s">
        <v>74</v>
      </c>
      <c r="AZ789" t="s">
        <v>74</v>
      </c>
      <c r="BA789" t="s">
        <v>74</v>
      </c>
      <c r="BB789">
        <v>399</v>
      </c>
      <c r="BC789">
        <v>403</v>
      </c>
      <c r="BD789" t="s">
        <v>74</v>
      </c>
      <c r="BE789" t="s">
        <v>11376</v>
      </c>
      <c r="BF789" t="str">
        <f>HYPERLINK("http://dx.doi.org/10.1078/0932-4739-00011","http://dx.doi.org/10.1078/0932-4739-00011")</f>
        <v>http://dx.doi.org/10.1078/0932-4739-00011</v>
      </c>
      <c r="BG789" t="s">
        <v>74</v>
      </c>
      <c r="BH789" t="s">
        <v>74</v>
      </c>
      <c r="BI789">
        <v>5</v>
      </c>
      <c r="BJ789" t="s">
        <v>743</v>
      </c>
      <c r="BK789" t="s">
        <v>332</v>
      </c>
      <c r="BL789" t="s">
        <v>743</v>
      </c>
      <c r="BM789" t="s">
        <v>11377</v>
      </c>
      <c r="BN789" t="s">
        <v>74</v>
      </c>
      <c r="BO789" t="s">
        <v>74</v>
      </c>
      <c r="BP789" t="s">
        <v>74</v>
      </c>
      <c r="BQ789" t="s">
        <v>74</v>
      </c>
      <c r="BR789" t="s">
        <v>99</v>
      </c>
      <c r="BS789" t="s">
        <v>11378</v>
      </c>
      <c r="BT789" t="str">
        <f>HYPERLINK("https%3A%2F%2Fwww.webofscience.com%2Fwos%2Fwoscc%2Ffull-record%2FWOS:000220045600011","View Full Record in Web of Science")</f>
        <v>View Full Record in Web of Science</v>
      </c>
    </row>
    <row r="790" spans="1:72" x14ac:dyDescent="0.15">
      <c r="A790" t="s">
        <v>72</v>
      </c>
      <c r="B790" t="s">
        <v>11379</v>
      </c>
      <c r="C790" t="s">
        <v>74</v>
      </c>
      <c r="D790" t="s">
        <v>74</v>
      </c>
      <c r="E790" t="s">
        <v>74</v>
      </c>
      <c r="F790" t="s">
        <v>11379</v>
      </c>
      <c r="G790" t="s">
        <v>74</v>
      </c>
      <c r="H790" t="s">
        <v>74</v>
      </c>
      <c r="I790" t="s">
        <v>11380</v>
      </c>
      <c r="J790" t="s">
        <v>11362</v>
      </c>
      <c r="K790" t="s">
        <v>74</v>
      </c>
      <c r="L790" t="s">
        <v>74</v>
      </c>
      <c r="M790" t="s">
        <v>77</v>
      </c>
      <c r="N790" t="s">
        <v>311</v>
      </c>
      <c r="O790" t="s">
        <v>11363</v>
      </c>
      <c r="P790" t="s">
        <v>9017</v>
      </c>
      <c r="Q790" t="s">
        <v>11364</v>
      </c>
      <c r="R790" t="s">
        <v>74</v>
      </c>
      <c r="S790" t="s">
        <v>74</v>
      </c>
      <c r="T790" t="s">
        <v>11381</v>
      </c>
      <c r="U790" t="s">
        <v>11382</v>
      </c>
      <c r="V790" t="s">
        <v>11383</v>
      </c>
      <c r="W790" t="s">
        <v>11384</v>
      </c>
      <c r="X790" t="s">
        <v>11385</v>
      </c>
      <c r="Y790" t="s">
        <v>11386</v>
      </c>
      <c r="Z790" t="s">
        <v>11387</v>
      </c>
      <c r="AA790" t="s">
        <v>74</v>
      </c>
      <c r="AB790" t="s">
        <v>74</v>
      </c>
      <c r="AC790" t="s">
        <v>74</v>
      </c>
      <c r="AD790" t="s">
        <v>74</v>
      </c>
      <c r="AE790" t="s">
        <v>74</v>
      </c>
      <c r="AF790" t="s">
        <v>74</v>
      </c>
      <c r="AG790">
        <v>11</v>
      </c>
      <c r="AH790">
        <v>11</v>
      </c>
      <c r="AI790">
        <v>13</v>
      </c>
      <c r="AJ790">
        <v>1</v>
      </c>
      <c r="AK790">
        <v>10</v>
      </c>
      <c r="AL790" t="s">
        <v>2085</v>
      </c>
      <c r="AM790" t="s">
        <v>2086</v>
      </c>
      <c r="AN790" t="s">
        <v>2087</v>
      </c>
      <c r="AO790" t="s">
        <v>11372</v>
      </c>
      <c r="AP790" t="s">
        <v>74</v>
      </c>
      <c r="AQ790" t="s">
        <v>74</v>
      </c>
      <c r="AR790" t="s">
        <v>11374</v>
      </c>
      <c r="AS790" t="s">
        <v>11375</v>
      </c>
      <c r="AT790" t="s">
        <v>10978</v>
      </c>
      <c r="AU790">
        <v>2003</v>
      </c>
      <c r="AV790">
        <v>39</v>
      </c>
      <c r="AW790">
        <v>4</v>
      </c>
      <c r="AX790" t="s">
        <v>74</v>
      </c>
      <c r="AY790" t="s">
        <v>74</v>
      </c>
      <c r="AZ790" t="s">
        <v>74</v>
      </c>
      <c r="BA790" t="s">
        <v>74</v>
      </c>
      <c r="BB790">
        <v>491</v>
      </c>
      <c r="BC790">
        <v>494</v>
      </c>
      <c r="BD790" t="s">
        <v>74</v>
      </c>
      <c r="BE790" t="s">
        <v>11388</v>
      </c>
      <c r="BF790" t="str">
        <f>HYPERLINK("http://dx.doi.org/10.1078/0932-4739-00026","http://dx.doi.org/10.1078/0932-4739-00026")</f>
        <v>http://dx.doi.org/10.1078/0932-4739-00026</v>
      </c>
      <c r="BG790" t="s">
        <v>74</v>
      </c>
      <c r="BH790" t="s">
        <v>74</v>
      </c>
      <c r="BI790">
        <v>4</v>
      </c>
      <c r="BJ790" t="s">
        <v>743</v>
      </c>
      <c r="BK790" t="s">
        <v>1116</v>
      </c>
      <c r="BL790" t="s">
        <v>743</v>
      </c>
      <c r="BM790" t="s">
        <v>11377</v>
      </c>
      <c r="BN790" t="s">
        <v>74</v>
      </c>
      <c r="BO790" t="s">
        <v>74</v>
      </c>
      <c r="BP790" t="s">
        <v>74</v>
      </c>
      <c r="BQ790" t="s">
        <v>74</v>
      </c>
      <c r="BR790" t="s">
        <v>99</v>
      </c>
      <c r="BS790" t="s">
        <v>11389</v>
      </c>
      <c r="BT790" t="str">
        <f>HYPERLINK("https%3A%2F%2Fwww.webofscience.com%2Fwos%2Fwoscc%2Ffull-record%2FWOS:000220045600026","View Full Record in Web of Science")</f>
        <v>View Full Record in Web of Science</v>
      </c>
    </row>
    <row r="791" spans="1:72" x14ac:dyDescent="0.15">
      <c r="A791" t="s">
        <v>72</v>
      </c>
      <c r="B791" t="s">
        <v>11390</v>
      </c>
      <c r="C791" t="s">
        <v>74</v>
      </c>
      <c r="D791" t="s">
        <v>74</v>
      </c>
      <c r="E791" t="s">
        <v>74</v>
      </c>
      <c r="F791" t="s">
        <v>11390</v>
      </c>
      <c r="G791" t="s">
        <v>74</v>
      </c>
      <c r="H791" t="s">
        <v>74</v>
      </c>
      <c r="I791" t="s">
        <v>11391</v>
      </c>
      <c r="J791" t="s">
        <v>11392</v>
      </c>
      <c r="K791" t="s">
        <v>74</v>
      </c>
      <c r="L791" t="s">
        <v>74</v>
      </c>
      <c r="M791" t="s">
        <v>77</v>
      </c>
      <c r="N791" t="s">
        <v>78</v>
      </c>
      <c r="O791" t="s">
        <v>74</v>
      </c>
      <c r="P791" t="s">
        <v>74</v>
      </c>
      <c r="Q791" t="s">
        <v>74</v>
      </c>
      <c r="R791" t="s">
        <v>74</v>
      </c>
      <c r="S791" t="s">
        <v>74</v>
      </c>
      <c r="T791" t="s">
        <v>11393</v>
      </c>
      <c r="U791" t="s">
        <v>11394</v>
      </c>
      <c r="V791" t="s">
        <v>11395</v>
      </c>
      <c r="W791" t="s">
        <v>11396</v>
      </c>
      <c r="X791" t="s">
        <v>11397</v>
      </c>
      <c r="Y791" t="s">
        <v>11398</v>
      </c>
      <c r="Z791" t="s">
        <v>11399</v>
      </c>
      <c r="AA791" t="s">
        <v>11400</v>
      </c>
      <c r="AB791" t="s">
        <v>11401</v>
      </c>
      <c r="AC791" t="s">
        <v>74</v>
      </c>
      <c r="AD791" t="s">
        <v>74</v>
      </c>
      <c r="AE791" t="s">
        <v>74</v>
      </c>
      <c r="AF791" t="s">
        <v>74</v>
      </c>
      <c r="AG791">
        <v>42</v>
      </c>
      <c r="AH791">
        <v>46</v>
      </c>
      <c r="AI791">
        <v>51</v>
      </c>
      <c r="AJ791">
        <v>0</v>
      </c>
      <c r="AK791">
        <v>20</v>
      </c>
      <c r="AL791" t="s">
        <v>8110</v>
      </c>
      <c r="AM791" t="s">
        <v>1721</v>
      </c>
      <c r="AN791" t="s">
        <v>11402</v>
      </c>
      <c r="AO791" t="s">
        <v>11403</v>
      </c>
      <c r="AP791" t="s">
        <v>11404</v>
      </c>
      <c r="AQ791" t="s">
        <v>74</v>
      </c>
      <c r="AR791" t="s">
        <v>11392</v>
      </c>
      <c r="AS791" t="s">
        <v>11405</v>
      </c>
      <c r="AT791" t="s">
        <v>10978</v>
      </c>
      <c r="AU791">
        <v>2003</v>
      </c>
      <c r="AV791">
        <v>7</v>
      </c>
      <c r="AW791">
        <v>6</v>
      </c>
      <c r="AX791" t="s">
        <v>74</v>
      </c>
      <c r="AY791" t="s">
        <v>74</v>
      </c>
      <c r="AZ791" t="s">
        <v>74</v>
      </c>
      <c r="BA791" t="s">
        <v>74</v>
      </c>
      <c r="BB791">
        <v>435</v>
      </c>
      <c r="BC791">
        <v>442</v>
      </c>
      <c r="BD791" t="s">
        <v>74</v>
      </c>
      <c r="BE791" t="s">
        <v>11406</v>
      </c>
      <c r="BF791" t="str">
        <f>HYPERLINK("http://dx.doi.org/10.1007/s00792-003-0340-9","http://dx.doi.org/10.1007/s00792-003-0340-9")</f>
        <v>http://dx.doi.org/10.1007/s00792-003-0340-9</v>
      </c>
      <c r="BG791" t="s">
        <v>74</v>
      </c>
      <c r="BH791" t="s">
        <v>74</v>
      </c>
      <c r="BI791">
        <v>8</v>
      </c>
      <c r="BJ791" t="s">
        <v>3116</v>
      </c>
      <c r="BK791" t="s">
        <v>96</v>
      </c>
      <c r="BL791" t="s">
        <v>3116</v>
      </c>
      <c r="BM791" t="s">
        <v>11407</v>
      </c>
      <c r="BN791">
        <v>12845553</v>
      </c>
      <c r="BO791" t="s">
        <v>74</v>
      </c>
      <c r="BP791" t="s">
        <v>74</v>
      </c>
      <c r="BQ791" t="s">
        <v>74</v>
      </c>
      <c r="BR791" t="s">
        <v>99</v>
      </c>
      <c r="BS791" t="s">
        <v>11408</v>
      </c>
      <c r="BT791" t="str">
        <f>HYPERLINK("https%3A%2F%2Fwww.webofscience.com%2Fwos%2Fwoscc%2Ffull-record%2FWOS:000187157100001","View Full Record in Web of Science")</f>
        <v>View Full Record in Web of Science</v>
      </c>
    </row>
    <row r="792" spans="1:72" x14ac:dyDescent="0.15">
      <c r="A792" t="s">
        <v>72</v>
      </c>
      <c r="B792" t="s">
        <v>11409</v>
      </c>
      <c r="C792" t="s">
        <v>74</v>
      </c>
      <c r="D792" t="s">
        <v>74</v>
      </c>
      <c r="E792" t="s">
        <v>74</v>
      </c>
      <c r="F792" t="s">
        <v>11409</v>
      </c>
      <c r="G792" t="s">
        <v>74</v>
      </c>
      <c r="H792" t="s">
        <v>74</v>
      </c>
      <c r="I792" t="s">
        <v>11410</v>
      </c>
      <c r="J792" t="s">
        <v>11392</v>
      </c>
      <c r="K792" t="s">
        <v>74</v>
      </c>
      <c r="L792" t="s">
        <v>74</v>
      </c>
      <c r="M792" t="s">
        <v>77</v>
      </c>
      <c r="N792" t="s">
        <v>78</v>
      </c>
      <c r="O792" t="s">
        <v>74</v>
      </c>
      <c r="P792" t="s">
        <v>74</v>
      </c>
      <c r="Q792" t="s">
        <v>74</v>
      </c>
      <c r="R792" t="s">
        <v>74</v>
      </c>
      <c r="S792" t="s">
        <v>74</v>
      </c>
      <c r="T792" t="s">
        <v>11411</v>
      </c>
      <c r="U792" t="s">
        <v>11412</v>
      </c>
      <c r="V792" t="s">
        <v>11413</v>
      </c>
      <c r="W792" t="s">
        <v>11414</v>
      </c>
      <c r="X792" t="s">
        <v>11415</v>
      </c>
      <c r="Y792" t="s">
        <v>74</v>
      </c>
      <c r="Z792" t="s">
        <v>11416</v>
      </c>
      <c r="AA792" t="s">
        <v>11417</v>
      </c>
      <c r="AB792" t="s">
        <v>11418</v>
      </c>
      <c r="AC792" t="s">
        <v>74</v>
      </c>
      <c r="AD792" t="s">
        <v>74</v>
      </c>
      <c r="AE792" t="s">
        <v>74</v>
      </c>
      <c r="AF792" t="s">
        <v>74</v>
      </c>
      <c r="AG792">
        <v>73</v>
      </c>
      <c r="AH792">
        <v>24</v>
      </c>
      <c r="AI792">
        <v>29</v>
      </c>
      <c r="AJ792">
        <v>0</v>
      </c>
      <c r="AK792">
        <v>18</v>
      </c>
      <c r="AL792" t="s">
        <v>8110</v>
      </c>
      <c r="AM792" t="s">
        <v>1721</v>
      </c>
      <c r="AN792" t="s">
        <v>11402</v>
      </c>
      <c r="AO792" t="s">
        <v>11403</v>
      </c>
      <c r="AP792" t="s">
        <v>11404</v>
      </c>
      <c r="AQ792" t="s">
        <v>74</v>
      </c>
      <c r="AR792" t="s">
        <v>11392</v>
      </c>
      <c r="AS792" t="s">
        <v>11405</v>
      </c>
      <c r="AT792" t="s">
        <v>10978</v>
      </c>
      <c r="AU792">
        <v>2003</v>
      </c>
      <c r="AV792">
        <v>7</v>
      </c>
      <c r="AW792">
        <v>6</v>
      </c>
      <c r="AX792" t="s">
        <v>74</v>
      </c>
      <c r="AY792" t="s">
        <v>74</v>
      </c>
      <c r="AZ792" t="s">
        <v>74</v>
      </c>
      <c r="BA792" t="s">
        <v>74</v>
      </c>
      <c r="BB792">
        <v>459</v>
      </c>
      <c r="BC792">
        <v>469</v>
      </c>
      <c r="BD792" t="s">
        <v>74</v>
      </c>
      <c r="BE792" t="s">
        <v>11419</v>
      </c>
      <c r="BF792" t="str">
        <f>HYPERLINK("http://dx.doi.org/10.1007/s00792-003-0345-4","http://dx.doi.org/10.1007/s00792-003-0345-4")</f>
        <v>http://dx.doi.org/10.1007/s00792-003-0345-4</v>
      </c>
      <c r="BG792" t="s">
        <v>74</v>
      </c>
      <c r="BH792" t="s">
        <v>74</v>
      </c>
      <c r="BI792">
        <v>11</v>
      </c>
      <c r="BJ792" t="s">
        <v>3116</v>
      </c>
      <c r="BK792" t="s">
        <v>96</v>
      </c>
      <c r="BL792" t="s">
        <v>3116</v>
      </c>
      <c r="BM792" t="s">
        <v>11407</v>
      </c>
      <c r="BN792">
        <v>12955601</v>
      </c>
      <c r="BO792" t="s">
        <v>74</v>
      </c>
      <c r="BP792" t="s">
        <v>74</v>
      </c>
      <c r="BQ792" t="s">
        <v>74</v>
      </c>
      <c r="BR792" t="s">
        <v>99</v>
      </c>
      <c r="BS792" t="s">
        <v>11420</v>
      </c>
      <c r="BT792" t="str">
        <f>HYPERLINK("https%3A%2F%2Fwww.webofscience.com%2Fwos%2Fwoscc%2Ffull-record%2FWOS:000187157100004","View Full Record in Web of Science")</f>
        <v>View Full Record in Web of Science</v>
      </c>
    </row>
    <row r="793" spans="1:72" x14ac:dyDescent="0.15">
      <c r="A793" t="s">
        <v>72</v>
      </c>
      <c r="B793" t="s">
        <v>11421</v>
      </c>
      <c r="C793" t="s">
        <v>74</v>
      </c>
      <c r="D793" t="s">
        <v>74</v>
      </c>
      <c r="E793" t="s">
        <v>74</v>
      </c>
      <c r="F793" t="s">
        <v>11421</v>
      </c>
      <c r="G793" t="s">
        <v>74</v>
      </c>
      <c r="H793" t="s">
        <v>74</v>
      </c>
      <c r="I793" t="s">
        <v>11422</v>
      </c>
      <c r="J793" t="s">
        <v>11423</v>
      </c>
      <c r="K793" t="s">
        <v>74</v>
      </c>
      <c r="L793" t="s">
        <v>74</v>
      </c>
      <c r="M793" t="s">
        <v>77</v>
      </c>
      <c r="N793" t="s">
        <v>78</v>
      </c>
      <c r="O793" t="s">
        <v>74</v>
      </c>
      <c r="P793" t="s">
        <v>74</v>
      </c>
      <c r="Q793" t="s">
        <v>74</v>
      </c>
      <c r="R793" t="s">
        <v>74</v>
      </c>
      <c r="S793" t="s">
        <v>74</v>
      </c>
      <c r="T793" t="s">
        <v>74</v>
      </c>
      <c r="U793" t="s">
        <v>11424</v>
      </c>
      <c r="V793" t="s">
        <v>11425</v>
      </c>
      <c r="W793" t="s">
        <v>11426</v>
      </c>
      <c r="X793" t="s">
        <v>11427</v>
      </c>
      <c r="Y793" t="s">
        <v>1932</v>
      </c>
      <c r="Z793" t="s">
        <v>11428</v>
      </c>
      <c r="AA793" t="s">
        <v>11429</v>
      </c>
      <c r="AB793" t="s">
        <v>11430</v>
      </c>
      <c r="AC793" t="s">
        <v>11431</v>
      </c>
      <c r="AD793" t="s">
        <v>11432</v>
      </c>
      <c r="AE793" t="s">
        <v>74</v>
      </c>
      <c r="AF793" t="s">
        <v>74</v>
      </c>
      <c r="AG793">
        <v>53</v>
      </c>
      <c r="AH793">
        <v>39</v>
      </c>
      <c r="AI793">
        <v>45</v>
      </c>
      <c r="AJ793">
        <v>0</v>
      </c>
      <c r="AK793">
        <v>3</v>
      </c>
      <c r="AL793" t="s">
        <v>11433</v>
      </c>
      <c r="AM793" t="s">
        <v>11434</v>
      </c>
      <c r="AN793" t="s">
        <v>11435</v>
      </c>
      <c r="AO793" t="s">
        <v>11436</v>
      </c>
      <c r="AP793" t="s">
        <v>11437</v>
      </c>
      <c r="AQ793" t="s">
        <v>74</v>
      </c>
      <c r="AR793" t="s">
        <v>11438</v>
      </c>
      <c r="AS793" t="s">
        <v>11439</v>
      </c>
      <c r="AT793" t="s">
        <v>10978</v>
      </c>
      <c r="AU793">
        <v>2003</v>
      </c>
      <c r="AV793">
        <v>13</v>
      </c>
      <c r="AW793">
        <v>12</v>
      </c>
      <c r="AX793" t="s">
        <v>74</v>
      </c>
      <c r="AY793" t="s">
        <v>74</v>
      </c>
      <c r="AZ793" t="s">
        <v>74</v>
      </c>
      <c r="BA793" t="s">
        <v>74</v>
      </c>
      <c r="BB793">
        <v>2747</v>
      </c>
      <c r="BC793">
        <v>2753</v>
      </c>
      <c r="BD793" t="s">
        <v>74</v>
      </c>
      <c r="BE793" t="s">
        <v>11440</v>
      </c>
      <c r="BF793" t="str">
        <f>HYPERLINK("http://dx.doi.org/10.1101/gr.1691503","http://dx.doi.org/10.1101/gr.1691503")</f>
        <v>http://dx.doi.org/10.1101/gr.1691503</v>
      </c>
      <c r="BG793" t="s">
        <v>74</v>
      </c>
      <c r="BH793" t="s">
        <v>74</v>
      </c>
      <c r="BI793">
        <v>7</v>
      </c>
      <c r="BJ793" t="s">
        <v>11441</v>
      </c>
      <c r="BK793" t="s">
        <v>96</v>
      </c>
      <c r="BL793" t="s">
        <v>11441</v>
      </c>
      <c r="BM793" t="s">
        <v>11442</v>
      </c>
      <c r="BN793">
        <v>14613980</v>
      </c>
      <c r="BO793" t="s">
        <v>11443</v>
      </c>
      <c r="BP793" t="s">
        <v>74</v>
      </c>
      <c r="BQ793" t="s">
        <v>74</v>
      </c>
      <c r="BR793" t="s">
        <v>99</v>
      </c>
      <c r="BS793" t="s">
        <v>11444</v>
      </c>
      <c r="BT793" t="str">
        <f>HYPERLINK("https%3A%2F%2Fwww.webofscience.com%2Fwos%2Fwoscc%2Ffull-record%2FWOS:000186920200025","View Full Record in Web of Science")</f>
        <v>View Full Record in Web of Science</v>
      </c>
    </row>
    <row r="794" spans="1:72" x14ac:dyDescent="0.15">
      <c r="A794" t="s">
        <v>72</v>
      </c>
      <c r="B794" t="s">
        <v>11445</v>
      </c>
      <c r="C794" t="s">
        <v>74</v>
      </c>
      <c r="D794" t="s">
        <v>74</v>
      </c>
      <c r="E794" t="s">
        <v>74</v>
      </c>
      <c r="F794" t="s">
        <v>11445</v>
      </c>
      <c r="G794" t="s">
        <v>74</v>
      </c>
      <c r="H794" t="s">
        <v>74</v>
      </c>
      <c r="I794" t="s">
        <v>11446</v>
      </c>
      <c r="J794" t="s">
        <v>1287</v>
      </c>
      <c r="K794" t="s">
        <v>74</v>
      </c>
      <c r="L794" t="s">
        <v>74</v>
      </c>
      <c r="M794" t="s">
        <v>77</v>
      </c>
      <c r="N794" t="s">
        <v>268</v>
      </c>
      <c r="O794" t="s">
        <v>74</v>
      </c>
      <c r="P794" t="s">
        <v>74</v>
      </c>
      <c r="Q794" t="s">
        <v>74</v>
      </c>
      <c r="R794" t="s">
        <v>74</v>
      </c>
      <c r="S794" t="s">
        <v>74</v>
      </c>
      <c r="T794" t="s">
        <v>74</v>
      </c>
      <c r="U794" t="s">
        <v>11447</v>
      </c>
      <c r="V794" t="s">
        <v>11448</v>
      </c>
      <c r="W794" t="s">
        <v>11449</v>
      </c>
      <c r="X794" t="s">
        <v>11450</v>
      </c>
      <c r="Y794" t="s">
        <v>11451</v>
      </c>
      <c r="Z794" t="s">
        <v>11452</v>
      </c>
      <c r="AA794" t="s">
        <v>74</v>
      </c>
      <c r="AB794" t="s">
        <v>74</v>
      </c>
      <c r="AC794" t="s">
        <v>74</v>
      </c>
      <c r="AD794" t="s">
        <v>74</v>
      </c>
      <c r="AE794" t="s">
        <v>74</v>
      </c>
      <c r="AF794" t="s">
        <v>74</v>
      </c>
      <c r="AG794">
        <v>100</v>
      </c>
      <c r="AH794">
        <v>171</v>
      </c>
      <c r="AI794">
        <v>199</v>
      </c>
      <c r="AJ794">
        <v>3</v>
      </c>
      <c r="AK794">
        <v>39</v>
      </c>
      <c r="AL794" t="s">
        <v>213</v>
      </c>
      <c r="AM794" t="s">
        <v>214</v>
      </c>
      <c r="AN794" t="s">
        <v>215</v>
      </c>
      <c r="AO794" t="s">
        <v>1294</v>
      </c>
      <c r="AP794" t="s">
        <v>1295</v>
      </c>
      <c r="AQ794" t="s">
        <v>74</v>
      </c>
      <c r="AR794" t="s">
        <v>1296</v>
      </c>
      <c r="AS794" t="s">
        <v>1297</v>
      </c>
      <c r="AT794" t="s">
        <v>10978</v>
      </c>
      <c r="AU794">
        <v>2003</v>
      </c>
      <c r="AV794">
        <v>67</v>
      </c>
      <c r="AW794">
        <v>24</v>
      </c>
      <c r="AX794" t="s">
        <v>74</v>
      </c>
      <c r="AY794" t="s">
        <v>74</v>
      </c>
      <c r="AZ794" t="s">
        <v>74</v>
      </c>
      <c r="BA794" t="s">
        <v>74</v>
      </c>
      <c r="BB794">
        <v>4727</v>
      </c>
      <c r="BC794">
        <v>4741</v>
      </c>
      <c r="BD794" t="s">
        <v>74</v>
      </c>
      <c r="BE794" t="s">
        <v>11453</v>
      </c>
      <c r="BF794" t="str">
        <f>HYPERLINK("http://dx.doi.org/10.1016/j.gca.2003.08.008","http://dx.doi.org/10.1016/j.gca.2003.08.008")</f>
        <v>http://dx.doi.org/10.1016/j.gca.2003.08.008</v>
      </c>
      <c r="BG794" t="s">
        <v>74</v>
      </c>
      <c r="BH794" t="s">
        <v>74</v>
      </c>
      <c r="BI794">
        <v>15</v>
      </c>
      <c r="BJ794" t="s">
        <v>262</v>
      </c>
      <c r="BK794" t="s">
        <v>96</v>
      </c>
      <c r="BL794" t="s">
        <v>262</v>
      </c>
      <c r="BM794" t="s">
        <v>11454</v>
      </c>
      <c r="BN794" t="s">
        <v>74</v>
      </c>
      <c r="BO794" t="s">
        <v>74</v>
      </c>
      <c r="BP794" t="s">
        <v>74</v>
      </c>
      <c r="BQ794" t="s">
        <v>74</v>
      </c>
      <c r="BR794" t="s">
        <v>99</v>
      </c>
      <c r="BS794" t="s">
        <v>11455</v>
      </c>
      <c r="BT794" t="str">
        <f>HYPERLINK("https%3A%2F%2Fwww.webofscience.com%2Fwos%2Fwoscc%2Ffull-record%2FWOS:000187323600006","View Full Record in Web of Science")</f>
        <v>View Full Record in Web of Science</v>
      </c>
    </row>
    <row r="795" spans="1:72" x14ac:dyDescent="0.15">
      <c r="A795" t="s">
        <v>72</v>
      </c>
      <c r="B795" t="s">
        <v>11456</v>
      </c>
      <c r="C795" t="s">
        <v>74</v>
      </c>
      <c r="D795" t="s">
        <v>74</v>
      </c>
      <c r="E795" t="s">
        <v>74</v>
      </c>
      <c r="F795" t="s">
        <v>11456</v>
      </c>
      <c r="G795" t="s">
        <v>74</v>
      </c>
      <c r="H795" t="s">
        <v>74</v>
      </c>
      <c r="I795" t="s">
        <v>11457</v>
      </c>
      <c r="J795" t="s">
        <v>1287</v>
      </c>
      <c r="K795" t="s">
        <v>74</v>
      </c>
      <c r="L795" t="s">
        <v>74</v>
      </c>
      <c r="M795" t="s">
        <v>77</v>
      </c>
      <c r="N795" t="s">
        <v>78</v>
      </c>
      <c r="O795" t="s">
        <v>74</v>
      </c>
      <c r="P795" t="s">
        <v>74</v>
      </c>
      <c r="Q795" t="s">
        <v>74</v>
      </c>
      <c r="R795" t="s">
        <v>74</v>
      </c>
      <c r="S795" t="s">
        <v>74</v>
      </c>
      <c r="T795" t="s">
        <v>74</v>
      </c>
      <c r="U795" t="s">
        <v>11458</v>
      </c>
      <c r="V795" t="s">
        <v>11459</v>
      </c>
      <c r="W795" t="s">
        <v>11460</v>
      </c>
      <c r="X795" t="s">
        <v>11461</v>
      </c>
      <c r="Y795" t="s">
        <v>11462</v>
      </c>
      <c r="Z795" t="s">
        <v>11463</v>
      </c>
      <c r="AA795" t="s">
        <v>11464</v>
      </c>
      <c r="AB795" t="s">
        <v>11465</v>
      </c>
      <c r="AC795" t="s">
        <v>74</v>
      </c>
      <c r="AD795" t="s">
        <v>74</v>
      </c>
      <c r="AE795" t="s">
        <v>74</v>
      </c>
      <c r="AF795" t="s">
        <v>74</v>
      </c>
      <c r="AG795">
        <v>57</v>
      </c>
      <c r="AH795">
        <v>46</v>
      </c>
      <c r="AI795">
        <v>49</v>
      </c>
      <c r="AJ795">
        <v>0</v>
      </c>
      <c r="AK795">
        <v>10</v>
      </c>
      <c r="AL795" t="s">
        <v>213</v>
      </c>
      <c r="AM795" t="s">
        <v>214</v>
      </c>
      <c r="AN795" t="s">
        <v>215</v>
      </c>
      <c r="AO795" t="s">
        <v>1294</v>
      </c>
      <c r="AP795" t="s">
        <v>1295</v>
      </c>
      <c r="AQ795" t="s">
        <v>74</v>
      </c>
      <c r="AR795" t="s">
        <v>1296</v>
      </c>
      <c r="AS795" t="s">
        <v>1297</v>
      </c>
      <c r="AT795" t="s">
        <v>10978</v>
      </c>
      <c r="AU795">
        <v>2003</v>
      </c>
      <c r="AV795">
        <v>67</v>
      </c>
      <c r="AW795">
        <v>24</v>
      </c>
      <c r="AX795" t="s">
        <v>74</v>
      </c>
      <c r="AY795" t="s">
        <v>74</v>
      </c>
      <c r="AZ795" t="s">
        <v>74</v>
      </c>
      <c r="BA795" t="s">
        <v>74</v>
      </c>
      <c r="BB795">
        <v>4775</v>
      </c>
      <c r="BC795">
        <v>4789</v>
      </c>
      <c r="BD795" t="s">
        <v>74</v>
      </c>
      <c r="BE795" t="s">
        <v>11466</v>
      </c>
      <c r="BF795" t="str">
        <f>HYPERLINK("http://dx.doi.org/10.1016/S0016-7037(03)00310-7","http://dx.doi.org/10.1016/S0016-7037(03)00310-7")</f>
        <v>http://dx.doi.org/10.1016/S0016-7037(03)00310-7</v>
      </c>
      <c r="BG795" t="s">
        <v>74</v>
      </c>
      <c r="BH795" t="s">
        <v>74</v>
      </c>
      <c r="BI795">
        <v>15</v>
      </c>
      <c r="BJ795" t="s">
        <v>262</v>
      </c>
      <c r="BK795" t="s">
        <v>96</v>
      </c>
      <c r="BL795" t="s">
        <v>262</v>
      </c>
      <c r="BM795" t="s">
        <v>11454</v>
      </c>
      <c r="BN795" t="s">
        <v>74</v>
      </c>
      <c r="BO795" t="s">
        <v>74</v>
      </c>
      <c r="BP795" t="s">
        <v>74</v>
      </c>
      <c r="BQ795" t="s">
        <v>74</v>
      </c>
      <c r="BR795" t="s">
        <v>99</v>
      </c>
      <c r="BS795" t="s">
        <v>11467</v>
      </c>
      <c r="BT795" t="str">
        <f>HYPERLINK("https%3A%2F%2Fwww.webofscience.com%2Fwos%2Fwoscc%2Ffull-record%2FWOS:000187323600009","View Full Record in Web of Science")</f>
        <v>View Full Record in Web of Science</v>
      </c>
    </row>
    <row r="796" spans="1:72" x14ac:dyDescent="0.15">
      <c r="A796" t="s">
        <v>72</v>
      </c>
      <c r="B796" t="s">
        <v>11468</v>
      </c>
      <c r="C796" t="s">
        <v>74</v>
      </c>
      <c r="D796" t="s">
        <v>74</v>
      </c>
      <c r="E796" t="s">
        <v>74</v>
      </c>
      <c r="F796" t="s">
        <v>11468</v>
      </c>
      <c r="G796" t="s">
        <v>74</v>
      </c>
      <c r="H796" t="s">
        <v>74</v>
      </c>
      <c r="I796" t="s">
        <v>11469</v>
      </c>
      <c r="J796" t="s">
        <v>2973</v>
      </c>
      <c r="K796" t="s">
        <v>74</v>
      </c>
      <c r="L796" t="s">
        <v>74</v>
      </c>
      <c r="M796" t="s">
        <v>77</v>
      </c>
      <c r="N796" t="s">
        <v>78</v>
      </c>
      <c r="O796" t="s">
        <v>74</v>
      </c>
      <c r="P796" t="s">
        <v>74</v>
      </c>
      <c r="Q796" t="s">
        <v>74</v>
      </c>
      <c r="R796" t="s">
        <v>74</v>
      </c>
      <c r="S796" t="s">
        <v>74</v>
      </c>
      <c r="T796" t="s">
        <v>11470</v>
      </c>
      <c r="U796" t="s">
        <v>11471</v>
      </c>
      <c r="V796" t="s">
        <v>11472</v>
      </c>
      <c r="W796" t="s">
        <v>11473</v>
      </c>
      <c r="X796" t="s">
        <v>11474</v>
      </c>
      <c r="Y796" t="s">
        <v>11475</v>
      </c>
      <c r="Z796" t="s">
        <v>74</v>
      </c>
      <c r="AA796" t="s">
        <v>7526</v>
      </c>
      <c r="AB796" t="s">
        <v>11476</v>
      </c>
      <c r="AC796" t="s">
        <v>74</v>
      </c>
      <c r="AD796" t="s">
        <v>74</v>
      </c>
      <c r="AE796" t="s">
        <v>74</v>
      </c>
      <c r="AF796" t="s">
        <v>74</v>
      </c>
      <c r="AG796">
        <v>43</v>
      </c>
      <c r="AH796">
        <v>106</v>
      </c>
      <c r="AI796">
        <v>113</v>
      </c>
      <c r="AJ796">
        <v>2</v>
      </c>
      <c r="AK796">
        <v>20</v>
      </c>
      <c r="AL796" t="s">
        <v>277</v>
      </c>
      <c r="AM796" t="s">
        <v>214</v>
      </c>
      <c r="AN796" t="s">
        <v>278</v>
      </c>
      <c r="AO796" t="s">
        <v>2983</v>
      </c>
      <c r="AP796" t="s">
        <v>2984</v>
      </c>
      <c r="AQ796" t="s">
        <v>74</v>
      </c>
      <c r="AR796" t="s">
        <v>2985</v>
      </c>
      <c r="AS796" t="s">
        <v>2986</v>
      </c>
      <c r="AT796" t="s">
        <v>10978</v>
      </c>
      <c r="AU796">
        <v>2003</v>
      </c>
      <c r="AV796">
        <v>155</v>
      </c>
      <c r="AW796">
        <v>3</v>
      </c>
      <c r="AX796" t="s">
        <v>74</v>
      </c>
      <c r="AY796" t="s">
        <v>74</v>
      </c>
      <c r="AZ796" t="s">
        <v>74</v>
      </c>
      <c r="BA796" t="s">
        <v>74</v>
      </c>
      <c r="BB796">
        <v>789</v>
      </c>
      <c r="BC796">
        <v>804</v>
      </c>
      <c r="BD796" t="s">
        <v>74</v>
      </c>
      <c r="BE796" t="s">
        <v>11477</v>
      </c>
      <c r="BF796" t="str">
        <f>HYPERLINK("http://dx.doi.org/10.1111/j.1365-246X.2003.02069.x","http://dx.doi.org/10.1111/j.1365-246X.2003.02069.x")</f>
        <v>http://dx.doi.org/10.1111/j.1365-246X.2003.02069.x</v>
      </c>
      <c r="BG796" t="s">
        <v>74</v>
      </c>
      <c r="BH796" t="s">
        <v>74</v>
      </c>
      <c r="BI796">
        <v>16</v>
      </c>
      <c r="BJ796" t="s">
        <v>262</v>
      </c>
      <c r="BK796" t="s">
        <v>96</v>
      </c>
      <c r="BL796" t="s">
        <v>262</v>
      </c>
      <c r="BM796" t="s">
        <v>11478</v>
      </c>
      <c r="BN796" t="s">
        <v>74</v>
      </c>
      <c r="BO796" t="s">
        <v>541</v>
      </c>
      <c r="BP796" t="s">
        <v>74</v>
      </c>
      <c r="BQ796" t="s">
        <v>74</v>
      </c>
      <c r="BR796" t="s">
        <v>99</v>
      </c>
      <c r="BS796" t="s">
        <v>11479</v>
      </c>
      <c r="BT796" t="str">
        <f>HYPERLINK("https%3A%2F%2Fwww.webofscience.com%2Fwos%2Fwoscc%2Ffull-record%2FWOS:000186798900004","View Full Record in Web of Science")</f>
        <v>View Full Record in Web of Science</v>
      </c>
    </row>
    <row r="797" spans="1:72" x14ac:dyDescent="0.15">
      <c r="A797" t="s">
        <v>72</v>
      </c>
      <c r="B797" t="s">
        <v>11480</v>
      </c>
      <c r="C797" t="s">
        <v>74</v>
      </c>
      <c r="D797" t="s">
        <v>74</v>
      </c>
      <c r="E797" t="s">
        <v>74</v>
      </c>
      <c r="F797" t="s">
        <v>11480</v>
      </c>
      <c r="G797" t="s">
        <v>74</v>
      </c>
      <c r="H797" t="s">
        <v>74</v>
      </c>
      <c r="I797" t="s">
        <v>11481</v>
      </c>
      <c r="J797" t="s">
        <v>11482</v>
      </c>
      <c r="K797" t="s">
        <v>74</v>
      </c>
      <c r="L797" t="s">
        <v>74</v>
      </c>
      <c r="M797" t="s">
        <v>77</v>
      </c>
      <c r="N797" t="s">
        <v>268</v>
      </c>
      <c r="O797" t="s">
        <v>74</v>
      </c>
      <c r="P797" t="s">
        <v>74</v>
      </c>
      <c r="Q797" t="s">
        <v>74</v>
      </c>
      <c r="R797" t="s">
        <v>74</v>
      </c>
      <c r="S797" t="s">
        <v>74</v>
      </c>
      <c r="T797" t="s">
        <v>11483</v>
      </c>
      <c r="U797" t="s">
        <v>11484</v>
      </c>
      <c r="V797" t="s">
        <v>11485</v>
      </c>
      <c r="W797" t="s">
        <v>11486</v>
      </c>
      <c r="X797" t="s">
        <v>11487</v>
      </c>
      <c r="Y797" t="s">
        <v>11488</v>
      </c>
      <c r="Z797" t="s">
        <v>7309</v>
      </c>
      <c r="AA797" t="s">
        <v>11489</v>
      </c>
      <c r="AB797" t="s">
        <v>11490</v>
      </c>
      <c r="AC797" t="s">
        <v>74</v>
      </c>
      <c r="AD797" t="s">
        <v>74</v>
      </c>
      <c r="AE797" t="s">
        <v>74</v>
      </c>
      <c r="AF797" t="s">
        <v>74</v>
      </c>
      <c r="AG797">
        <v>225</v>
      </c>
      <c r="AH797">
        <v>170</v>
      </c>
      <c r="AI797">
        <v>184</v>
      </c>
      <c r="AJ797">
        <v>1</v>
      </c>
      <c r="AK797">
        <v>84</v>
      </c>
      <c r="AL797" t="s">
        <v>198</v>
      </c>
      <c r="AM797" t="s">
        <v>178</v>
      </c>
      <c r="AN797" t="s">
        <v>179</v>
      </c>
      <c r="AO797" t="s">
        <v>11491</v>
      </c>
      <c r="AP797" t="s">
        <v>11492</v>
      </c>
      <c r="AQ797" t="s">
        <v>74</v>
      </c>
      <c r="AR797" t="s">
        <v>11493</v>
      </c>
      <c r="AS797" t="s">
        <v>11494</v>
      </c>
      <c r="AT797" t="s">
        <v>10978</v>
      </c>
      <c r="AU797">
        <v>2003</v>
      </c>
      <c r="AV797">
        <v>9</v>
      </c>
      <c r="AW797">
        <v>12</v>
      </c>
      <c r="AX797" t="s">
        <v>74</v>
      </c>
      <c r="AY797" t="s">
        <v>74</v>
      </c>
      <c r="AZ797" t="s">
        <v>74</v>
      </c>
      <c r="BA797" t="s">
        <v>74</v>
      </c>
      <c r="BB797">
        <v>1681</v>
      </c>
      <c r="BC797">
        <v>1717</v>
      </c>
      <c r="BD797" t="s">
        <v>74</v>
      </c>
      <c r="BE797" t="s">
        <v>11495</v>
      </c>
      <c r="BF797" t="str">
        <f>HYPERLINK("http://dx.doi.org/10.1046/j.1365-2486.2003.00693.x","http://dx.doi.org/10.1046/j.1365-2486.2003.00693.x")</f>
        <v>http://dx.doi.org/10.1046/j.1365-2486.2003.00693.x</v>
      </c>
      <c r="BG797" t="s">
        <v>74</v>
      </c>
      <c r="BH797" t="s">
        <v>74</v>
      </c>
      <c r="BI797">
        <v>37</v>
      </c>
      <c r="BJ797" t="s">
        <v>11496</v>
      </c>
      <c r="BK797" t="s">
        <v>96</v>
      </c>
      <c r="BL797" t="s">
        <v>97</v>
      </c>
      <c r="BM797" t="s">
        <v>11497</v>
      </c>
      <c r="BN797" t="s">
        <v>74</v>
      </c>
      <c r="BO797" t="s">
        <v>479</v>
      </c>
      <c r="BP797" t="s">
        <v>74</v>
      </c>
      <c r="BQ797" t="s">
        <v>74</v>
      </c>
      <c r="BR797" t="s">
        <v>99</v>
      </c>
      <c r="BS797" t="s">
        <v>11498</v>
      </c>
      <c r="BT797" t="str">
        <f>HYPERLINK("https%3A%2F%2Fwww.webofscience.com%2Fwos%2Fwoscc%2Ffull-record%2FWOS:000187274800001","View Full Record in Web of Science")</f>
        <v>View Full Record in Web of Science</v>
      </c>
    </row>
    <row r="798" spans="1:72" x14ac:dyDescent="0.15">
      <c r="A798" t="s">
        <v>72</v>
      </c>
      <c r="B798" t="s">
        <v>11499</v>
      </c>
      <c r="C798" t="s">
        <v>74</v>
      </c>
      <c r="D798" t="s">
        <v>74</v>
      </c>
      <c r="E798" t="s">
        <v>74</v>
      </c>
      <c r="F798" t="s">
        <v>11499</v>
      </c>
      <c r="G798" t="s">
        <v>74</v>
      </c>
      <c r="H798" t="s">
        <v>74</v>
      </c>
      <c r="I798" t="s">
        <v>11500</v>
      </c>
      <c r="J798" t="s">
        <v>11482</v>
      </c>
      <c r="K798" t="s">
        <v>74</v>
      </c>
      <c r="L798" t="s">
        <v>74</v>
      </c>
      <c r="M798" t="s">
        <v>77</v>
      </c>
      <c r="N798" t="s">
        <v>78</v>
      </c>
      <c r="O798" t="s">
        <v>74</v>
      </c>
      <c r="P798" t="s">
        <v>74</v>
      </c>
      <c r="Q798" t="s">
        <v>74</v>
      </c>
      <c r="R798" t="s">
        <v>74</v>
      </c>
      <c r="S798" t="s">
        <v>74</v>
      </c>
      <c r="T798" t="s">
        <v>11501</v>
      </c>
      <c r="U798" t="s">
        <v>11502</v>
      </c>
      <c r="V798" t="s">
        <v>11503</v>
      </c>
      <c r="W798" t="s">
        <v>81</v>
      </c>
      <c r="X798" t="s">
        <v>82</v>
      </c>
      <c r="Y798" t="s">
        <v>83</v>
      </c>
      <c r="Z798" t="s">
        <v>11504</v>
      </c>
      <c r="AA798" t="s">
        <v>11505</v>
      </c>
      <c r="AB798" t="s">
        <v>11506</v>
      </c>
      <c r="AC798" t="s">
        <v>74</v>
      </c>
      <c r="AD798" t="s">
        <v>74</v>
      </c>
      <c r="AE798" t="s">
        <v>74</v>
      </c>
      <c r="AF798" t="s">
        <v>74</v>
      </c>
      <c r="AG798">
        <v>45</v>
      </c>
      <c r="AH798">
        <v>81</v>
      </c>
      <c r="AI798">
        <v>85</v>
      </c>
      <c r="AJ798">
        <v>1</v>
      </c>
      <c r="AK798">
        <v>25</v>
      </c>
      <c r="AL798" t="s">
        <v>198</v>
      </c>
      <c r="AM798" t="s">
        <v>178</v>
      </c>
      <c r="AN798" t="s">
        <v>179</v>
      </c>
      <c r="AO798" t="s">
        <v>11491</v>
      </c>
      <c r="AP798" t="s">
        <v>11492</v>
      </c>
      <c r="AQ798" t="s">
        <v>74</v>
      </c>
      <c r="AR798" t="s">
        <v>11493</v>
      </c>
      <c r="AS798" t="s">
        <v>11494</v>
      </c>
      <c r="AT798" t="s">
        <v>10978</v>
      </c>
      <c r="AU798">
        <v>2003</v>
      </c>
      <c r="AV798">
        <v>9</v>
      </c>
      <c r="AW798">
        <v>12</v>
      </c>
      <c r="AX798" t="s">
        <v>74</v>
      </c>
      <c r="AY798" t="s">
        <v>74</v>
      </c>
      <c r="AZ798" t="s">
        <v>74</v>
      </c>
      <c r="BA798" t="s">
        <v>74</v>
      </c>
      <c r="BB798">
        <v>1718</v>
      </c>
      <c r="BC798">
        <v>1730</v>
      </c>
      <c r="BD798" t="s">
        <v>74</v>
      </c>
      <c r="BE798" t="s">
        <v>11507</v>
      </c>
      <c r="BF798" t="str">
        <f>HYPERLINK("http://dx.doi.org/10.1046/j.1365-2486.2003.00691.x","http://dx.doi.org/10.1046/j.1365-2486.2003.00691.x")</f>
        <v>http://dx.doi.org/10.1046/j.1365-2486.2003.00691.x</v>
      </c>
      <c r="BG798" t="s">
        <v>74</v>
      </c>
      <c r="BH798" t="s">
        <v>74</v>
      </c>
      <c r="BI798">
        <v>13</v>
      </c>
      <c r="BJ798" t="s">
        <v>11496</v>
      </c>
      <c r="BK798" t="s">
        <v>96</v>
      </c>
      <c r="BL798" t="s">
        <v>97</v>
      </c>
      <c r="BM798" t="s">
        <v>11497</v>
      </c>
      <c r="BN798" t="s">
        <v>74</v>
      </c>
      <c r="BO798" t="s">
        <v>74</v>
      </c>
      <c r="BP798" t="s">
        <v>74</v>
      </c>
      <c r="BQ798" t="s">
        <v>74</v>
      </c>
      <c r="BR798" t="s">
        <v>99</v>
      </c>
      <c r="BS798" t="s">
        <v>11508</v>
      </c>
      <c r="BT798" t="str">
        <f>HYPERLINK("https%3A%2F%2Fwww.webofscience.com%2Fwos%2Fwoscc%2Ffull-record%2FWOS:000187274800002","View Full Record in Web of Science")</f>
        <v>View Full Record in Web of Science</v>
      </c>
    </row>
    <row r="799" spans="1:72" x14ac:dyDescent="0.15">
      <c r="A799" t="s">
        <v>72</v>
      </c>
      <c r="B799" t="s">
        <v>11509</v>
      </c>
      <c r="C799" t="s">
        <v>74</v>
      </c>
      <c r="D799" t="s">
        <v>74</v>
      </c>
      <c r="E799" t="s">
        <v>74</v>
      </c>
      <c r="F799" t="s">
        <v>11509</v>
      </c>
      <c r="G799" t="s">
        <v>74</v>
      </c>
      <c r="H799" t="s">
        <v>74</v>
      </c>
      <c r="I799" t="s">
        <v>11510</v>
      </c>
      <c r="J799" t="s">
        <v>11511</v>
      </c>
      <c r="K799" t="s">
        <v>74</v>
      </c>
      <c r="L799" t="s">
        <v>74</v>
      </c>
      <c r="M799" t="s">
        <v>77</v>
      </c>
      <c r="N799" t="s">
        <v>78</v>
      </c>
      <c r="O799" t="s">
        <v>74</v>
      </c>
      <c r="P799" t="s">
        <v>74</v>
      </c>
      <c r="Q799" t="s">
        <v>74</v>
      </c>
      <c r="R799" t="s">
        <v>74</v>
      </c>
      <c r="S799" t="s">
        <v>74</v>
      </c>
      <c r="T799" t="s">
        <v>74</v>
      </c>
      <c r="U799" t="s">
        <v>11512</v>
      </c>
      <c r="V799" t="s">
        <v>11513</v>
      </c>
      <c r="W799" t="s">
        <v>11514</v>
      </c>
      <c r="X799" t="s">
        <v>11515</v>
      </c>
      <c r="Y799" t="s">
        <v>11516</v>
      </c>
      <c r="Z799" t="s">
        <v>11517</v>
      </c>
      <c r="AA799" t="s">
        <v>11518</v>
      </c>
      <c r="AB799" t="s">
        <v>74</v>
      </c>
      <c r="AC799" t="s">
        <v>74</v>
      </c>
      <c r="AD799" t="s">
        <v>74</v>
      </c>
      <c r="AE799" t="s">
        <v>74</v>
      </c>
      <c r="AF799" t="s">
        <v>74</v>
      </c>
      <c r="AG799">
        <v>49</v>
      </c>
      <c r="AH799">
        <v>19</v>
      </c>
      <c r="AI799">
        <v>23</v>
      </c>
      <c r="AJ799">
        <v>0</v>
      </c>
      <c r="AK799">
        <v>6</v>
      </c>
      <c r="AL799" t="s">
        <v>86</v>
      </c>
      <c r="AM799" t="s">
        <v>87</v>
      </c>
      <c r="AN799" t="s">
        <v>2007</v>
      </c>
      <c r="AO799" t="s">
        <v>11519</v>
      </c>
      <c r="AP799" t="s">
        <v>11520</v>
      </c>
      <c r="AQ799" t="s">
        <v>74</v>
      </c>
      <c r="AR799" t="s">
        <v>11521</v>
      </c>
      <c r="AS799" t="s">
        <v>11522</v>
      </c>
      <c r="AT799" t="s">
        <v>10978</v>
      </c>
      <c r="AU799">
        <v>2003</v>
      </c>
      <c r="AV799">
        <v>11</v>
      </c>
      <c r="AW799">
        <v>6</v>
      </c>
      <c r="AX799" t="s">
        <v>74</v>
      </c>
      <c r="AY799" t="s">
        <v>74</v>
      </c>
      <c r="AZ799" t="s">
        <v>74</v>
      </c>
      <c r="BA799" t="s">
        <v>74</v>
      </c>
      <c r="BB799">
        <v>615</v>
      </c>
      <c r="BC799">
        <v>627</v>
      </c>
      <c r="BD799" t="s">
        <v>74</v>
      </c>
      <c r="BE799" t="s">
        <v>11523</v>
      </c>
      <c r="BF799" t="str">
        <f>HYPERLINK("http://dx.doi.org/10.1007/s10040-003-0287-z","http://dx.doi.org/10.1007/s10040-003-0287-z")</f>
        <v>http://dx.doi.org/10.1007/s10040-003-0287-z</v>
      </c>
      <c r="BG799" t="s">
        <v>74</v>
      </c>
      <c r="BH799" t="s">
        <v>74</v>
      </c>
      <c r="BI799">
        <v>13</v>
      </c>
      <c r="BJ799" t="s">
        <v>11524</v>
      </c>
      <c r="BK799" t="s">
        <v>96</v>
      </c>
      <c r="BL799" t="s">
        <v>11525</v>
      </c>
      <c r="BM799" t="s">
        <v>11526</v>
      </c>
      <c r="BN799" t="s">
        <v>74</v>
      </c>
      <c r="BO799" t="s">
        <v>156</v>
      </c>
      <c r="BP799" t="s">
        <v>74</v>
      </c>
      <c r="BQ799" t="s">
        <v>74</v>
      </c>
      <c r="BR799" t="s">
        <v>99</v>
      </c>
      <c r="BS799" t="s">
        <v>11527</v>
      </c>
      <c r="BT799" t="str">
        <f>HYPERLINK("https%3A%2F%2Fwww.webofscience.com%2Fwos%2Fwoscc%2Ffull-record%2FWOS:000187132100002","View Full Record in Web of Science")</f>
        <v>View Full Record in Web of Science</v>
      </c>
    </row>
    <row r="800" spans="1:72" x14ac:dyDescent="0.15">
      <c r="A800" t="s">
        <v>72</v>
      </c>
      <c r="B800" t="s">
        <v>11528</v>
      </c>
      <c r="C800" t="s">
        <v>74</v>
      </c>
      <c r="D800" t="s">
        <v>74</v>
      </c>
      <c r="E800" t="s">
        <v>74</v>
      </c>
      <c r="F800" t="s">
        <v>11528</v>
      </c>
      <c r="G800" t="s">
        <v>74</v>
      </c>
      <c r="H800" t="s">
        <v>74</v>
      </c>
      <c r="I800" t="s">
        <v>11529</v>
      </c>
      <c r="J800" t="s">
        <v>11530</v>
      </c>
      <c r="K800" t="s">
        <v>74</v>
      </c>
      <c r="L800" t="s">
        <v>74</v>
      </c>
      <c r="M800" t="s">
        <v>77</v>
      </c>
      <c r="N800" t="s">
        <v>52</v>
      </c>
      <c r="O800" t="s">
        <v>11531</v>
      </c>
      <c r="P800">
        <v>2004</v>
      </c>
      <c r="Q800" t="s">
        <v>11532</v>
      </c>
      <c r="R800" t="s">
        <v>74</v>
      </c>
      <c r="S800" t="s">
        <v>74</v>
      </c>
      <c r="T800" t="s">
        <v>74</v>
      </c>
      <c r="U800" t="s">
        <v>74</v>
      </c>
      <c r="V800" t="s">
        <v>74</v>
      </c>
      <c r="W800" t="s">
        <v>11533</v>
      </c>
      <c r="X800" t="s">
        <v>1181</v>
      </c>
      <c r="Y800" t="s">
        <v>74</v>
      </c>
      <c r="Z800" t="s">
        <v>74</v>
      </c>
      <c r="AA800" t="s">
        <v>74</v>
      </c>
      <c r="AB800" t="s">
        <v>74</v>
      </c>
      <c r="AC800" t="s">
        <v>74</v>
      </c>
      <c r="AD800" t="s">
        <v>74</v>
      </c>
      <c r="AE800" t="s">
        <v>74</v>
      </c>
      <c r="AF800" t="s">
        <v>74</v>
      </c>
      <c r="AG800">
        <v>0</v>
      </c>
      <c r="AH800">
        <v>0</v>
      </c>
      <c r="AI800">
        <v>0</v>
      </c>
      <c r="AJ800">
        <v>0</v>
      </c>
      <c r="AK800">
        <v>0</v>
      </c>
      <c r="AL800" t="s">
        <v>11534</v>
      </c>
      <c r="AM800" t="s">
        <v>11535</v>
      </c>
      <c r="AN800" t="s">
        <v>11536</v>
      </c>
      <c r="AO800" t="s">
        <v>11537</v>
      </c>
      <c r="AP800" t="s">
        <v>74</v>
      </c>
      <c r="AQ800" t="s">
        <v>74</v>
      </c>
      <c r="AR800" t="s">
        <v>11538</v>
      </c>
      <c r="AS800" t="s">
        <v>11539</v>
      </c>
      <c r="AT800" t="s">
        <v>10978</v>
      </c>
      <c r="AU800">
        <v>2003</v>
      </c>
      <c r="AV800">
        <v>43</v>
      </c>
      <c r="AW800">
        <v>6</v>
      </c>
      <c r="AX800" t="s">
        <v>74</v>
      </c>
      <c r="AY800" t="s">
        <v>74</v>
      </c>
      <c r="AZ800" t="s">
        <v>74</v>
      </c>
      <c r="BA800" t="s">
        <v>74</v>
      </c>
      <c r="BB800">
        <v>949</v>
      </c>
      <c r="BC800">
        <v>949</v>
      </c>
      <c r="BD800" t="s">
        <v>74</v>
      </c>
      <c r="BE800" t="s">
        <v>74</v>
      </c>
      <c r="BF800" t="s">
        <v>74</v>
      </c>
      <c r="BG800" t="s">
        <v>74</v>
      </c>
      <c r="BH800" t="s">
        <v>74</v>
      </c>
      <c r="BI800">
        <v>1</v>
      </c>
      <c r="BJ800" t="s">
        <v>331</v>
      </c>
      <c r="BK800" t="s">
        <v>1116</v>
      </c>
      <c r="BL800" t="s">
        <v>331</v>
      </c>
      <c r="BM800" t="s">
        <v>11540</v>
      </c>
      <c r="BN800" t="s">
        <v>74</v>
      </c>
      <c r="BO800" t="s">
        <v>74</v>
      </c>
      <c r="BP800" t="s">
        <v>74</v>
      </c>
      <c r="BQ800" t="s">
        <v>74</v>
      </c>
      <c r="BR800" t="s">
        <v>99</v>
      </c>
      <c r="BS800" t="s">
        <v>11541</v>
      </c>
      <c r="BT800" t="str">
        <f>HYPERLINK("https%3A%2F%2Fwww.webofscience.com%2Fwos%2Fwoscc%2Ffull-record%2FWOS:000222235200587","View Full Record in Web of Science")</f>
        <v>View Full Record in Web of Science</v>
      </c>
    </row>
    <row r="801" spans="1:72" x14ac:dyDescent="0.15">
      <c r="A801" t="s">
        <v>72</v>
      </c>
      <c r="B801" t="s">
        <v>11542</v>
      </c>
      <c r="C801" t="s">
        <v>74</v>
      </c>
      <c r="D801" t="s">
        <v>74</v>
      </c>
      <c r="E801" t="s">
        <v>74</v>
      </c>
      <c r="F801" t="s">
        <v>11542</v>
      </c>
      <c r="G801" t="s">
        <v>74</v>
      </c>
      <c r="H801" t="s">
        <v>74</v>
      </c>
      <c r="I801" t="s">
        <v>11543</v>
      </c>
      <c r="J801" t="s">
        <v>11530</v>
      </c>
      <c r="K801" t="s">
        <v>74</v>
      </c>
      <c r="L801" t="s">
        <v>74</v>
      </c>
      <c r="M801" t="s">
        <v>77</v>
      </c>
      <c r="N801" t="s">
        <v>52</v>
      </c>
      <c r="O801" t="s">
        <v>11531</v>
      </c>
      <c r="P801">
        <v>2004</v>
      </c>
      <c r="Q801" t="s">
        <v>11532</v>
      </c>
      <c r="R801" t="s">
        <v>74</v>
      </c>
      <c r="S801" t="s">
        <v>74</v>
      </c>
      <c r="T801" t="s">
        <v>74</v>
      </c>
      <c r="U801" t="s">
        <v>74</v>
      </c>
      <c r="V801" t="s">
        <v>74</v>
      </c>
      <c r="W801" t="s">
        <v>11544</v>
      </c>
      <c r="X801" t="s">
        <v>11545</v>
      </c>
      <c r="Y801" t="s">
        <v>74</v>
      </c>
      <c r="Z801" t="s">
        <v>74</v>
      </c>
      <c r="AA801" t="s">
        <v>74</v>
      </c>
      <c r="AB801" t="s">
        <v>74</v>
      </c>
      <c r="AC801" t="s">
        <v>74</v>
      </c>
      <c r="AD801" t="s">
        <v>74</v>
      </c>
      <c r="AE801" t="s">
        <v>74</v>
      </c>
      <c r="AF801" t="s">
        <v>74</v>
      </c>
      <c r="AG801">
        <v>0</v>
      </c>
      <c r="AH801">
        <v>0</v>
      </c>
      <c r="AI801">
        <v>0</v>
      </c>
      <c r="AJ801">
        <v>0</v>
      </c>
      <c r="AK801">
        <v>1</v>
      </c>
      <c r="AL801" t="s">
        <v>11534</v>
      </c>
      <c r="AM801" t="s">
        <v>11535</v>
      </c>
      <c r="AN801" t="s">
        <v>11536</v>
      </c>
      <c r="AO801" t="s">
        <v>11537</v>
      </c>
      <c r="AP801" t="s">
        <v>74</v>
      </c>
      <c r="AQ801" t="s">
        <v>74</v>
      </c>
      <c r="AR801" t="s">
        <v>11538</v>
      </c>
      <c r="AS801" t="s">
        <v>11539</v>
      </c>
      <c r="AT801" t="s">
        <v>10978</v>
      </c>
      <c r="AU801">
        <v>2003</v>
      </c>
      <c r="AV801">
        <v>43</v>
      </c>
      <c r="AW801">
        <v>6</v>
      </c>
      <c r="AX801" t="s">
        <v>74</v>
      </c>
      <c r="AY801" t="s">
        <v>74</v>
      </c>
      <c r="AZ801" t="s">
        <v>74</v>
      </c>
      <c r="BA801" t="s">
        <v>74</v>
      </c>
      <c r="BB801">
        <v>964</v>
      </c>
      <c r="BC801">
        <v>964</v>
      </c>
      <c r="BD801" t="s">
        <v>74</v>
      </c>
      <c r="BE801" t="s">
        <v>74</v>
      </c>
      <c r="BF801" t="s">
        <v>74</v>
      </c>
      <c r="BG801" t="s">
        <v>74</v>
      </c>
      <c r="BH801" t="s">
        <v>74</v>
      </c>
      <c r="BI801">
        <v>1</v>
      </c>
      <c r="BJ801" t="s">
        <v>331</v>
      </c>
      <c r="BK801" t="s">
        <v>1116</v>
      </c>
      <c r="BL801" t="s">
        <v>331</v>
      </c>
      <c r="BM801" t="s">
        <v>11540</v>
      </c>
      <c r="BN801" t="s">
        <v>74</v>
      </c>
      <c r="BO801" t="s">
        <v>74</v>
      </c>
      <c r="BP801" t="s">
        <v>74</v>
      </c>
      <c r="BQ801" t="s">
        <v>74</v>
      </c>
      <c r="BR801" t="s">
        <v>99</v>
      </c>
      <c r="BS801" t="s">
        <v>11546</v>
      </c>
      <c r="BT801" t="str">
        <f>HYPERLINK("https%3A%2F%2Fwww.webofscience.com%2Fwos%2Fwoscc%2Ffull-record%2FWOS:000222235200647","View Full Record in Web of Science")</f>
        <v>View Full Record in Web of Science</v>
      </c>
    </row>
    <row r="802" spans="1:72" x14ac:dyDescent="0.15">
      <c r="A802" t="s">
        <v>72</v>
      </c>
      <c r="B802" t="s">
        <v>11547</v>
      </c>
      <c r="C802" t="s">
        <v>74</v>
      </c>
      <c r="D802" t="s">
        <v>74</v>
      </c>
      <c r="E802" t="s">
        <v>74</v>
      </c>
      <c r="F802" t="s">
        <v>11547</v>
      </c>
      <c r="G802" t="s">
        <v>74</v>
      </c>
      <c r="H802" t="s">
        <v>74</v>
      </c>
      <c r="I802" t="s">
        <v>11548</v>
      </c>
      <c r="J802" t="s">
        <v>11530</v>
      </c>
      <c r="K802" t="s">
        <v>74</v>
      </c>
      <c r="L802" t="s">
        <v>74</v>
      </c>
      <c r="M802" t="s">
        <v>77</v>
      </c>
      <c r="N802" t="s">
        <v>52</v>
      </c>
      <c r="O802" t="s">
        <v>11531</v>
      </c>
      <c r="P802">
        <v>2004</v>
      </c>
      <c r="Q802" t="s">
        <v>11532</v>
      </c>
      <c r="R802" t="s">
        <v>74</v>
      </c>
      <c r="S802" t="s">
        <v>74</v>
      </c>
      <c r="T802" t="s">
        <v>74</v>
      </c>
      <c r="U802" t="s">
        <v>74</v>
      </c>
      <c r="V802" t="s">
        <v>74</v>
      </c>
      <c r="W802" t="s">
        <v>11549</v>
      </c>
      <c r="X802" t="s">
        <v>11550</v>
      </c>
      <c r="Y802" t="s">
        <v>74</v>
      </c>
      <c r="Z802" t="s">
        <v>74</v>
      </c>
      <c r="AA802" t="s">
        <v>11551</v>
      </c>
      <c r="AB802" t="s">
        <v>74</v>
      </c>
      <c r="AC802" t="s">
        <v>74</v>
      </c>
      <c r="AD802" t="s">
        <v>74</v>
      </c>
      <c r="AE802" t="s">
        <v>74</v>
      </c>
      <c r="AF802" t="s">
        <v>74</v>
      </c>
      <c r="AG802">
        <v>0</v>
      </c>
      <c r="AH802">
        <v>0</v>
      </c>
      <c r="AI802">
        <v>0</v>
      </c>
      <c r="AJ802">
        <v>0</v>
      </c>
      <c r="AK802">
        <v>2</v>
      </c>
      <c r="AL802" t="s">
        <v>11534</v>
      </c>
      <c r="AM802" t="s">
        <v>11535</v>
      </c>
      <c r="AN802" t="s">
        <v>11536</v>
      </c>
      <c r="AO802" t="s">
        <v>11537</v>
      </c>
      <c r="AP802" t="s">
        <v>74</v>
      </c>
      <c r="AQ802" t="s">
        <v>74</v>
      </c>
      <c r="AR802" t="s">
        <v>11538</v>
      </c>
      <c r="AS802" t="s">
        <v>11539</v>
      </c>
      <c r="AT802" t="s">
        <v>10978</v>
      </c>
      <c r="AU802">
        <v>2003</v>
      </c>
      <c r="AV802">
        <v>43</v>
      </c>
      <c r="AW802">
        <v>6</v>
      </c>
      <c r="AX802" t="s">
        <v>74</v>
      </c>
      <c r="AY802" t="s">
        <v>74</v>
      </c>
      <c r="AZ802" t="s">
        <v>74</v>
      </c>
      <c r="BA802" t="s">
        <v>74</v>
      </c>
      <c r="BB802">
        <v>991</v>
      </c>
      <c r="BC802">
        <v>991</v>
      </c>
      <c r="BD802" t="s">
        <v>74</v>
      </c>
      <c r="BE802" t="s">
        <v>74</v>
      </c>
      <c r="BF802" t="s">
        <v>74</v>
      </c>
      <c r="BG802" t="s">
        <v>74</v>
      </c>
      <c r="BH802" t="s">
        <v>74</v>
      </c>
      <c r="BI802">
        <v>1</v>
      </c>
      <c r="BJ802" t="s">
        <v>331</v>
      </c>
      <c r="BK802" t="s">
        <v>1116</v>
      </c>
      <c r="BL802" t="s">
        <v>331</v>
      </c>
      <c r="BM802" t="s">
        <v>11540</v>
      </c>
      <c r="BN802" t="s">
        <v>74</v>
      </c>
      <c r="BO802" t="s">
        <v>74</v>
      </c>
      <c r="BP802" t="s">
        <v>74</v>
      </c>
      <c r="BQ802" t="s">
        <v>74</v>
      </c>
      <c r="BR802" t="s">
        <v>99</v>
      </c>
      <c r="BS802" t="s">
        <v>11552</v>
      </c>
      <c r="BT802" t="str">
        <f>HYPERLINK("https%3A%2F%2Fwww.webofscience.com%2Fwos%2Fwoscc%2Ffull-record%2FWOS:000222235200751","View Full Record in Web of Science")</f>
        <v>View Full Record in Web of Science</v>
      </c>
    </row>
    <row r="803" spans="1:72" x14ac:dyDescent="0.15">
      <c r="A803" t="s">
        <v>72</v>
      </c>
      <c r="B803" t="s">
        <v>11553</v>
      </c>
      <c r="C803" t="s">
        <v>74</v>
      </c>
      <c r="D803" t="s">
        <v>74</v>
      </c>
      <c r="E803" t="s">
        <v>74</v>
      </c>
      <c r="F803" t="s">
        <v>11553</v>
      </c>
      <c r="G803" t="s">
        <v>74</v>
      </c>
      <c r="H803" t="s">
        <v>74</v>
      </c>
      <c r="I803" t="s">
        <v>11554</v>
      </c>
      <c r="J803" t="s">
        <v>11530</v>
      </c>
      <c r="K803" t="s">
        <v>74</v>
      </c>
      <c r="L803" t="s">
        <v>74</v>
      </c>
      <c r="M803" t="s">
        <v>77</v>
      </c>
      <c r="N803" t="s">
        <v>52</v>
      </c>
      <c r="O803" t="s">
        <v>11531</v>
      </c>
      <c r="P803">
        <v>2004</v>
      </c>
      <c r="Q803" t="s">
        <v>11532</v>
      </c>
      <c r="R803" t="s">
        <v>74</v>
      </c>
      <c r="S803" t="s">
        <v>74</v>
      </c>
      <c r="T803" t="s">
        <v>74</v>
      </c>
      <c r="U803" t="s">
        <v>74</v>
      </c>
      <c r="V803" t="s">
        <v>74</v>
      </c>
      <c r="W803" t="s">
        <v>11555</v>
      </c>
      <c r="X803" t="s">
        <v>11556</v>
      </c>
      <c r="Y803" t="s">
        <v>74</v>
      </c>
      <c r="Z803" t="s">
        <v>74</v>
      </c>
      <c r="AA803" t="s">
        <v>74</v>
      </c>
      <c r="AB803" t="s">
        <v>74</v>
      </c>
      <c r="AC803" t="s">
        <v>74</v>
      </c>
      <c r="AD803" t="s">
        <v>74</v>
      </c>
      <c r="AE803" t="s">
        <v>74</v>
      </c>
      <c r="AF803" t="s">
        <v>74</v>
      </c>
      <c r="AG803">
        <v>0</v>
      </c>
      <c r="AH803">
        <v>3</v>
      </c>
      <c r="AI803">
        <v>4</v>
      </c>
      <c r="AJ803">
        <v>0</v>
      </c>
      <c r="AK803">
        <v>3</v>
      </c>
      <c r="AL803" t="s">
        <v>11534</v>
      </c>
      <c r="AM803" t="s">
        <v>11535</v>
      </c>
      <c r="AN803" t="s">
        <v>11536</v>
      </c>
      <c r="AO803" t="s">
        <v>11537</v>
      </c>
      <c r="AP803" t="s">
        <v>74</v>
      </c>
      <c r="AQ803" t="s">
        <v>74</v>
      </c>
      <c r="AR803" t="s">
        <v>11538</v>
      </c>
      <c r="AS803" t="s">
        <v>11539</v>
      </c>
      <c r="AT803" t="s">
        <v>10978</v>
      </c>
      <c r="AU803">
        <v>2003</v>
      </c>
      <c r="AV803">
        <v>43</v>
      </c>
      <c r="AW803">
        <v>6</v>
      </c>
      <c r="AX803" t="s">
        <v>74</v>
      </c>
      <c r="AY803" t="s">
        <v>74</v>
      </c>
      <c r="AZ803" t="s">
        <v>74</v>
      </c>
      <c r="BA803" t="s">
        <v>74</v>
      </c>
      <c r="BB803">
        <v>1078</v>
      </c>
      <c r="BC803">
        <v>1078</v>
      </c>
      <c r="BD803" t="s">
        <v>74</v>
      </c>
      <c r="BE803" t="s">
        <v>74</v>
      </c>
      <c r="BF803" t="s">
        <v>74</v>
      </c>
      <c r="BG803" t="s">
        <v>74</v>
      </c>
      <c r="BH803" t="s">
        <v>74</v>
      </c>
      <c r="BI803">
        <v>1</v>
      </c>
      <c r="BJ803" t="s">
        <v>331</v>
      </c>
      <c r="BK803" t="s">
        <v>1116</v>
      </c>
      <c r="BL803" t="s">
        <v>331</v>
      </c>
      <c r="BM803" t="s">
        <v>11540</v>
      </c>
      <c r="BN803" t="s">
        <v>74</v>
      </c>
      <c r="BO803" t="s">
        <v>74</v>
      </c>
      <c r="BP803" t="s">
        <v>74</v>
      </c>
      <c r="BQ803" t="s">
        <v>74</v>
      </c>
      <c r="BR803" t="s">
        <v>99</v>
      </c>
      <c r="BS803" t="s">
        <v>11557</v>
      </c>
      <c r="BT803" t="str">
        <f>HYPERLINK("https%3A%2F%2Fwww.webofscience.com%2Fwos%2Fwoscc%2Ffull-record%2FWOS:000222235201102","View Full Record in Web of Science")</f>
        <v>View Full Record in Web of Science</v>
      </c>
    </row>
    <row r="804" spans="1:72" x14ac:dyDescent="0.15">
      <c r="A804" t="s">
        <v>72</v>
      </c>
      <c r="B804" t="s">
        <v>11558</v>
      </c>
      <c r="C804" t="s">
        <v>74</v>
      </c>
      <c r="D804" t="s">
        <v>74</v>
      </c>
      <c r="E804" t="s">
        <v>74</v>
      </c>
      <c r="F804" t="s">
        <v>11558</v>
      </c>
      <c r="G804" t="s">
        <v>74</v>
      </c>
      <c r="H804" t="s">
        <v>74</v>
      </c>
      <c r="I804" t="s">
        <v>11559</v>
      </c>
      <c r="J804" t="s">
        <v>11560</v>
      </c>
      <c r="K804" t="s">
        <v>74</v>
      </c>
      <c r="L804" t="s">
        <v>74</v>
      </c>
      <c r="M804" t="s">
        <v>77</v>
      </c>
      <c r="N804" t="s">
        <v>78</v>
      </c>
      <c r="O804" t="s">
        <v>74</v>
      </c>
      <c r="P804" t="s">
        <v>74</v>
      </c>
      <c r="Q804" t="s">
        <v>74</v>
      </c>
      <c r="R804" t="s">
        <v>74</v>
      </c>
      <c r="S804" t="s">
        <v>74</v>
      </c>
      <c r="T804" t="s">
        <v>74</v>
      </c>
      <c r="U804" t="s">
        <v>11561</v>
      </c>
      <c r="V804" t="s">
        <v>11562</v>
      </c>
      <c r="W804" t="s">
        <v>11563</v>
      </c>
      <c r="X804" t="s">
        <v>11564</v>
      </c>
      <c r="Y804" t="s">
        <v>11565</v>
      </c>
      <c r="Z804" t="s">
        <v>74</v>
      </c>
      <c r="AA804" t="s">
        <v>74</v>
      </c>
      <c r="AB804" t="s">
        <v>11566</v>
      </c>
      <c r="AC804" t="s">
        <v>74</v>
      </c>
      <c r="AD804" t="s">
        <v>74</v>
      </c>
      <c r="AE804" t="s">
        <v>74</v>
      </c>
      <c r="AF804" t="s">
        <v>74</v>
      </c>
      <c r="AG804">
        <v>90</v>
      </c>
      <c r="AH804">
        <v>19</v>
      </c>
      <c r="AI804">
        <v>22</v>
      </c>
      <c r="AJ804">
        <v>1</v>
      </c>
      <c r="AK804">
        <v>9</v>
      </c>
      <c r="AL804" t="s">
        <v>11567</v>
      </c>
      <c r="AM804" t="s">
        <v>11568</v>
      </c>
      <c r="AN804" t="s">
        <v>11569</v>
      </c>
      <c r="AO804" t="s">
        <v>11570</v>
      </c>
      <c r="AP804" t="s">
        <v>74</v>
      </c>
      <c r="AQ804" t="s">
        <v>74</v>
      </c>
      <c r="AR804" t="s">
        <v>11571</v>
      </c>
      <c r="AS804" t="s">
        <v>11572</v>
      </c>
      <c r="AT804" t="s">
        <v>10978</v>
      </c>
      <c r="AU804">
        <v>2003</v>
      </c>
      <c r="AV804">
        <v>45</v>
      </c>
      <c r="AW804">
        <v>12</v>
      </c>
      <c r="AX804" t="s">
        <v>74</v>
      </c>
      <c r="AY804" t="s">
        <v>74</v>
      </c>
      <c r="AZ804" t="s">
        <v>74</v>
      </c>
      <c r="BA804" t="s">
        <v>74</v>
      </c>
      <c r="BB804">
        <v>1055</v>
      </c>
      <c r="BC804">
        <v>1099</v>
      </c>
      <c r="BD804" t="s">
        <v>74</v>
      </c>
      <c r="BE804" t="s">
        <v>11573</v>
      </c>
      <c r="BF804" t="str">
        <f>HYPERLINK("http://dx.doi.org/10.2747/0020-6814.45.12.1055","http://dx.doi.org/10.2747/0020-6814.45.12.1055")</f>
        <v>http://dx.doi.org/10.2747/0020-6814.45.12.1055</v>
      </c>
      <c r="BG804" t="s">
        <v>74</v>
      </c>
      <c r="BH804" t="s">
        <v>74</v>
      </c>
      <c r="BI804">
        <v>45</v>
      </c>
      <c r="BJ804" t="s">
        <v>561</v>
      </c>
      <c r="BK804" t="s">
        <v>96</v>
      </c>
      <c r="BL804" t="s">
        <v>561</v>
      </c>
      <c r="BM804" t="s">
        <v>11574</v>
      </c>
      <c r="BN804" t="s">
        <v>74</v>
      </c>
      <c r="BO804" t="s">
        <v>74</v>
      </c>
      <c r="BP804" t="s">
        <v>74</v>
      </c>
      <c r="BQ804" t="s">
        <v>74</v>
      </c>
      <c r="BR804" t="s">
        <v>99</v>
      </c>
      <c r="BS804" t="s">
        <v>11575</v>
      </c>
      <c r="BT804" t="str">
        <f>HYPERLINK("https%3A%2F%2Fwww.webofscience.com%2Fwos%2Fwoscc%2Ffull-record%2FWOS:000187359800001","View Full Record in Web of Science")</f>
        <v>View Full Record in Web of Science</v>
      </c>
    </row>
    <row r="805" spans="1:72" x14ac:dyDescent="0.15">
      <c r="A805" t="s">
        <v>72</v>
      </c>
      <c r="B805" t="s">
        <v>11576</v>
      </c>
      <c r="C805" t="s">
        <v>74</v>
      </c>
      <c r="D805" t="s">
        <v>74</v>
      </c>
      <c r="E805" t="s">
        <v>74</v>
      </c>
      <c r="F805" t="s">
        <v>11576</v>
      </c>
      <c r="G805" t="s">
        <v>74</v>
      </c>
      <c r="H805" t="s">
        <v>74</v>
      </c>
      <c r="I805" t="s">
        <v>11577</v>
      </c>
      <c r="J805" t="s">
        <v>7781</v>
      </c>
      <c r="K805" t="s">
        <v>74</v>
      </c>
      <c r="L805" t="s">
        <v>74</v>
      </c>
      <c r="M805" t="s">
        <v>77</v>
      </c>
      <c r="N805" t="s">
        <v>78</v>
      </c>
      <c r="O805" t="s">
        <v>74</v>
      </c>
      <c r="P805" t="s">
        <v>74</v>
      </c>
      <c r="Q805" t="s">
        <v>74</v>
      </c>
      <c r="R805" t="s">
        <v>74</v>
      </c>
      <c r="S805" t="s">
        <v>74</v>
      </c>
      <c r="T805" t="s">
        <v>11578</v>
      </c>
      <c r="U805" t="s">
        <v>11579</v>
      </c>
      <c r="V805" t="s">
        <v>11580</v>
      </c>
      <c r="W805" t="s">
        <v>11581</v>
      </c>
      <c r="X805" t="s">
        <v>7607</v>
      </c>
      <c r="Y805" t="s">
        <v>11582</v>
      </c>
      <c r="Z805" t="s">
        <v>11583</v>
      </c>
      <c r="AA805" t="s">
        <v>74</v>
      </c>
      <c r="AB805" t="s">
        <v>74</v>
      </c>
      <c r="AC805" t="s">
        <v>74</v>
      </c>
      <c r="AD805" t="s">
        <v>74</v>
      </c>
      <c r="AE805" t="s">
        <v>74</v>
      </c>
      <c r="AF805" t="s">
        <v>74</v>
      </c>
      <c r="AG805">
        <v>59</v>
      </c>
      <c r="AH805">
        <v>6</v>
      </c>
      <c r="AI805">
        <v>6</v>
      </c>
      <c r="AJ805">
        <v>0</v>
      </c>
      <c r="AK805">
        <v>1</v>
      </c>
      <c r="AL805" t="s">
        <v>177</v>
      </c>
      <c r="AM805" t="s">
        <v>178</v>
      </c>
      <c r="AN805" t="s">
        <v>179</v>
      </c>
      <c r="AO805" t="s">
        <v>7788</v>
      </c>
      <c r="AP805" t="s">
        <v>11584</v>
      </c>
      <c r="AQ805" t="s">
        <v>74</v>
      </c>
      <c r="AR805" t="s">
        <v>7789</v>
      </c>
      <c r="AS805" t="s">
        <v>7790</v>
      </c>
      <c r="AT805" t="s">
        <v>10978</v>
      </c>
      <c r="AU805">
        <v>2003</v>
      </c>
      <c r="AV805">
        <v>23</v>
      </c>
      <c r="AW805">
        <v>15</v>
      </c>
      <c r="AX805" t="s">
        <v>74</v>
      </c>
      <c r="AY805" t="s">
        <v>74</v>
      </c>
      <c r="AZ805" t="s">
        <v>74</v>
      </c>
      <c r="BA805" t="s">
        <v>74</v>
      </c>
      <c r="BB805">
        <v>1799</v>
      </c>
      <c r="BC805">
        <v>1820</v>
      </c>
      <c r="BD805" t="s">
        <v>74</v>
      </c>
      <c r="BE805" t="s">
        <v>11585</v>
      </c>
      <c r="BF805" t="str">
        <f>HYPERLINK("http://dx.doi.org/10.1002/joc.975","http://dx.doi.org/10.1002/joc.975")</f>
        <v>http://dx.doi.org/10.1002/joc.975</v>
      </c>
      <c r="BG805" t="s">
        <v>74</v>
      </c>
      <c r="BH805" t="s">
        <v>74</v>
      </c>
      <c r="BI805">
        <v>22</v>
      </c>
      <c r="BJ805" t="s">
        <v>186</v>
      </c>
      <c r="BK805" t="s">
        <v>96</v>
      </c>
      <c r="BL805" t="s">
        <v>186</v>
      </c>
      <c r="BM805" t="s">
        <v>11586</v>
      </c>
      <c r="BN805" t="s">
        <v>74</v>
      </c>
      <c r="BO805" t="s">
        <v>74</v>
      </c>
      <c r="BP805" t="s">
        <v>74</v>
      </c>
      <c r="BQ805" t="s">
        <v>74</v>
      </c>
      <c r="BR805" t="s">
        <v>99</v>
      </c>
      <c r="BS805" t="s">
        <v>11587</v>
      </c>
      <c r="BT805" t="str">
        <f>HYPERLINK("https%3A%2F%2Fwww.webofscience.com%2Fwos%2Fwoscc%2Ffull-record%2FWOS:000187844900001","View Full Record in Web of Science")</f>
        <v>View Full Record in Web of Science</v>
      </c>
    </row>
    <row r="806" spans="1:72" x14ac:dyDescent="0.15">
      <c r="A806" t="s">
        <v>72</v>
      </c>
      <c r="B806" t="s">
        <v>11588</v>
      </c>
      <c r="C806" t="s">
        <v>74</v>
      </c>
      <c r="D806" t="s">
        <v>74</v>
      </c>
      <c r="E806" t="s">
        <v>74</v>
      </c>
      <c r="F806" t="s">
        <v>11588</v>
      </c>
      <c r="G806" t="s">
        <v>74</v>
      </c>
      <c r="H806" t="s">
        <v>74</v>
      </c>
      <c r="I806" t="s">
        <v>11589</v>
      </c>
      <c r="J806" t="s">
        <v>1558</v>
      </c>
      <c r="K806" t="s">
        <v>74</v>
      </c>
      <c r="L806" t="s">
        <v>74</v>
      </c>
      <c r="M806" t="s">
        <v>77</v>
      </c>
      <c r="N806" t="s">
        <v>78</v>
      </c>
      <c r="O806" t="s">
        <v>74</v>
      </c>
      <c r="P806" t="s">
        <v>74</v>
      </c>
      <c r="Q806" t="s">
        <v>74</v>
      </c>
      <c r="R806" t="s">
        <v>74</v>
      </c>
      <c r="S806" t="s">
        <v>74</v>
      </c>
      <c r="T806" t="s">
        <v>74</v>
      </c>
      <c r="U806" t="s">
        <v>11590</v>
      </c>
      <c r="V806" t="s">
        <v>11591</v>
      </c>
      <c r="W806" t="s">
        <v>81</v>
      </c>
      <c r="X806" t="s">
        <v>82</v>
      </c>
      <c r="Y806" t="s">
        <v>11592</v>
      </c>
      <c r="Z806" t="s">
        <v>74</v>
      </c>
      <c r="AA806" t="s">
        <v>74</v>
      </c>
      <c r="AB806" t="s">
        <v>74</v>
      </c>
      <c r="AC806" t="s">
        <v>74</v>
      </c>
      <c r="AD806" t="s">
        <v>74</v>
      </c>
      <c r="AE806" t="s">
        <v>74</v>
      </c>
      <c r="AF806" t="s">
        <v>74</v>
      </c>
      <c r="AG806">
        <v>32</v>
      </c>
      <c r="AH806">
        <v>1511</v>
      </c>
      <c r="AI806">
        <v>1654</v>
      </c>
      <c r="AJ806">
        <v>4</v>
      </c>
      <c r="AK806">
        <v>166</v>
      </c>
      <c r="AL806" t="s">
        <v>297</v>
      </c>
      <c r="AM806" t="s">
        <v>298</v>
      </c>
      <c r="AN806" t="s">
        <v>299</v>
      </c>
      <c r="AO806" t="s">
        <v>1568</v>
      </c>
      <c r="AP806" t="s">
        <v>74</v>
      </c>
      <c r="AQ806" t="s">
        <v>74</v>
      </c>
      <c r="AR806" t="s">
        <v>1570</v>
      </c>
      <c r="AS806" t="s">
        <v>1571</v>
      </c>
      <c r="AT806" t="s">
        <v>10978</v>
      </c>
      <c r="AU806">
        <v>2003</v>
      </c>
      <c r="AV806">
        <v>16</v>
      </c>
      <c r="AW806">
        <v>24</v>
      </c>
      <c r="AX806" t="s">
        <v>74</v>
      </c>
      <c r="AY806" t="s">
        <v>74</v>
      </c>
      <c r="AZ806" t="s">
        <v>74</v>
      </c>
      <c r="BA806" t="s">
        <v>74</v>
      </c>
      <c r="BB806">
        <v>4134</v>
      </c>
      <c r="BC806">
        <v>4143</v>
      </c>
      <c r="BD806" t="s">
        <v>74</v>
      </c>
      <c r="BE806" t="s">
        <v>11593</v>
      </c>
      <c r="BF806" t="str">
        <f>HYPERLINK("http://dx.doi.org/10.1175/1520-0442(2003)016&lt;4134:TITSAM&gt;2.0.CO;2","http://dx.doi.org/10.1175/1520-0442(2003)016&lt;4134:TITSAM&gt;2.0.CO;2")</f>
        <v>http://dx.doi.org/10.1175/1520-0442(2003)016&lt;4134:TITSAM&gt;2.0.CO;2</v>
      </c>
      <c r="BG806" t="s">
        <v>74</v>
      </c>
      <c r="BH806" t="s">
        <v>74</v>
      </c>
      <c r="BI806">
        <v>10</v>
      </c>
      <c r="BJ806" t="s">
        <v>186</v>
      </c>
      <c r="BK806" t="s">
        <v>96</v>
      </c>
      <c r="BL806" t="s">
        <v>186</v>
      </c>
      <c r="BM806" t="s">
        <v>11594</v>
      </c>
      <c r="BN806" t="s">
        <v>74</v>
      </c>
      <c r="BO806" t="s">
        <v>817</v>
      </c>
      <c r="BP806" t="s">
        <v>74</v>
      </c>
      <c r="BQ806" t="s">
        <v>74</v>
      </c>
      <c r="BR806" t="s">
        <v>99</v>
      </c>
      <c r="BS806" t="s">
        <v>11595</v>
      </c>
      <c r="BT806" t="str">
        <f>HYPERLINK("https%3A%2F%2Fwww.webofscience.com%2Fwos%2Fwoscc%2Ffull-record%2FWOS:000187019300009","View Full Record in Web of Science")</f>
        <v>View Full Record in Web of Science</v>
      </c>
    </row>
    <row r="807" spans="1:72" x14ac:dyDescent="0.15">
      <c r="A807" t="s">
        <v>72</v>
      </c>
      <c r="B807" t="s">
        <v>11596</v>
      </c>
      <c r="C807" t="s">
        <v>74</v>
      </c>
      <c r="D807" t="s">
        <v>74</v>
      </c>
      <c r="E807" t="s">
        <v>74</v>
      </c>
      <c r="F807" t="s">
        <v>11596</v>
      </c>
      <c r="G807" t="s">
        <v>74</v>
      </c>
      <c r="H807" t="s">
        <v>74</v>
      </c>
      <c r="I807" t="s">
        <v>11597</v>
      </c>
      <c r="J807" t="s">
        <v>1650</v>
      </c>
      <c r="K807" t="s">
        <v>74</v>
      </c>
      <c r="L807" t="s">
        <v>74</v>
      </c>
      <c r="M807" t="s">
        <v>77</v>
      </c>
      <c r="N807" t="s">
        <v>78</v>
      </c>
      <c r="O807" t="s">
        <v>74</v>
      </c>
      <c r="P807" t="s">
        <v>74</v>
      </c>
      <c r="Q807" t="s">
        <v>74</v>
      </c>
      <c r="R807" t="s">
        <v>74</v>
      </c>
      <c r="S807" t="s">
        <v>74</v>
      </c>
      <c r="T807" t="s">
        <v>11598</v>
      </c>
      <c r="U807" t="s">
        <v>11599</v>
      </c>
      <c r="V807" t="s">
        <v>11600</v>
      </c>
      <c r="W807" t="s">
        <v>11601</v>
      </c>
      <c r="X807" t="s">
        <v>11602</v>
      </c>
      <c r="Y807" t="s">
        <v>11603</v>
      </c>
      <c r="Z807" t="s">
        <v>74</v>
      </c>
      <c r="AA807" t="s">
        <v>11604</v>
      </c>
      <c r="AB807" t="s">
        <v>11605</v>
      </c>
      <c r="AC807" t="s">
        <v>74</v>
      </c>
      <c r="AD807" t="s">
        <v>74</v>
      </c>
      <c r="AE807" t="s">
        <v>74</v>
      </c>
      <c r="AF807" t="s">
        <v>74</v>
      </c>
      <c r="AG807">
        <v>78</v>
      </c>
      <c r="AH807">
        <v>35</v>
      </c>
      <c r="AI807">
        <v>39</v>
      </c>
      <c r="AJ807">
        <v>0</v>
      </c>
      <c r="AK807">
        <v>13</v>
      </c>
      <c r="AL807" t="s">
        <v>11606</v>
      </c>
      <c r="AM807" t="s">
        <v>824</v>
      </c>
      <c r="AN807" t="s">
        <v>11607</v>
      </c>
      <c r="AO807" t="s">
        <v>1662</v>
      </c>
      <c r="AP807" t="s">
        <v>74</v>
      </c>
      <c r="AQ807" t="s">
        <v>74</v>
      </c>
      <c r="AR807" t="s">
        <v>1664</v>
      </c>
      <c r="AS807" t="s">
        <v>1665</v>
      </c>
      <c r="AT807" t="s">
        <v>10978</v>
      </c>
      <c r="AU807">
        <v>2003</v>
      </c>
      <c r="AV807">
        <v>206</v>
      </c>
      <c r="AW807">
        <v>24</v>
      </c>
      <c r="AX807" t="s">
        <v>74</v>
      </c>
      <c r="AY807" t="s">
        <v>74</v>
      </c>
      <c r="AZ807" t="s">
        <v>74</v>
      </c>
      <c r="BA807" t="s">
        <v>74</v>
      </c>
      <c r="BB807">
        <v>4497</v>
      </c>
      <c r="BC807">
        <v>4506</v>
      </c>
      <c r="BD807" t="s">
        <v>74</v>
      </c>
      <c r="BE807" t="s">
        <v>11608</v>
      </c>
      <c r="BF807" t="str">
        <f>HYPERLINK("http://dx.doi.org/10.1242/jeb.00703","http://dx.doi.org/10.1242/jeb.00703")</f>
        <v>http://dx.doi.org/10.1242/jeb.00703</v>
      </c>
      <c r="BG807" t="s">
        <v>74</v>
      </c>
      <c r="BH807" t="s">
        <v>74</v>
      </c>
      <c r="BI807">
        <v>10</v>
      </c>
      <c r="BJ807" t="s">
        <v>1667</v>
      </c>
      <c r="BK807" t="s">
        <v>96</v>
      </c>
      <c r="BL807" t="s">
        <v>1668</v>
      </c>
      <c r="BM807" t="s">
        <v>11609</v>
      </c>
      <c r="BN807">
        <v>14610034</v>
      </c>
      <c r="BO807" t="s">
        <v>623</v>
      </c>
      <c r="BP807" t="s">
        <v>74</v>
      </c>
      <c r="BQ807" t="s">
        <v>74</v>
      </c>
      <c r="BR807" t="s">
        <v>99</v>
      </c>
      <c r="BS807" t="s">
        <v>11610</v>
      </c>
      <c r="BT807" t="str">
        <f>HYPERLINK("https%3A%2F%2Fwww.webofscience.com%2Fwos%2Fwoscc%2Ffull-record%2FWOS:000187394300014","View Full Record in Web of Science")</f>
        <v>View Full Record in Web of Science</v>
      </c>
    </row>
    <row r="808" spans="1:72" x14ac:dyDescent="0.15">
      <c r="A808" t="s">
        <v>72</v>
      </c>
      <c r="B808" t="s">
        <v>11611</v>
      </c>
      <c r="C808" t="s">
        <v>74</v>
      </c>
      <c r="D808" t="s">
        <v>74</v>
      </c>
      <c r="E808" t="s">
        <v>74</v>
      </c>
      <c r="F808" t="s">
        <v>11611</v>
      </c>
      <c r="G808" t="s">
        <v>74</v>
      </c>
      <c r="H808" t="s">
        <v>74</v>
      </c>
      <c r="I808" t="s">
        <v>11612</v>
      </c>
      <c r="J808" t="s">
        <v>1650</v>
      </c>
      <c r="K808" t="s">
        <v>74</v>
      </c>
      <c r="L808" t="s">
        <v>74</v>
      </c>
      <c r="M808" t="s">
        <v>77</v>
      </c>
      <c r="N808" t="s">
        <v>78</v>
      </c>
      <c r="O808" t="s">
        <v>74</v>
      </c>
      <c r="P808" t="s">
        <v>74</v>
      </c>
      <c r="Q808" t="s">
        <v>74</v>
      </c>
      <c r="R808" t="s">
        <v>74</v>
      </c>
      <c r="S808" t="s">
        <v>74</v>
      </c>
      <c r="T808" t="s">
        <v>11613</v>
      </c>
      <c r="U808" t="s">
        <v>11614</v>
      </c>
      <c r="V808" t="s">
        <v>11615</v>
      </c>
      <c r="W808" t="s">
        <v>11616</v>
      </c>
      <c r="X808" t="s">
        <v>11617</v>
      </c>
      <c r="Y808" t="s">
        <v>11618</v>
      </c>
      <c r="Z808" t="s">
        <v>74</v>
      </c>
      <c r="AA808" t="s">
        <v>11619</v>
      </c>
      <c r="AB808" t="s">
        <v>11620</v>
      </c>
      <c r="AC808" t="s">
        <v>11621</v>
      </c>
      <c r="AD808" t="s">
        <v>11622</v>
      </c>
      <c r="AE808" t="s">
        <v>74</v>
      </c>
      <c r="AF808" t="s">
        <v>74</v>
      </c>
      <c r="AG808">
        <v>33</v>
      </c>
      <c r="AH808">
        <v>41</v>
      </c>
      <c r="AI808">
        <v>49</v>
      </c>
      <c r="AJ808">
        <v>2</v>
      </c>
      <c r="AK808">
        <v>27</v>
      </c>
      <c r="AL808" t="s">
        <v>11606</v>
      </c>
      <c r="AM808" t="s">
        <v>824</v>
      </c>
      <c r="AN808" t="s">
        <v>11607</v>
      </c>
      <c r="AO808" t="s">
        <v>1662</v>
      </c>
      <c r="AP808" t="s">
        <v>74</v>
      </c>
      <c r="AQ808" t="s">
        <v>74</v>
      </c>
      <c r="AR808" t="s">
        <v>1664</v>
      </c>
      <c r="AS808" t="s">
        <v>1665</v>
      </c>
      <c r="AT808" t="s">
        <v>10978</v>
      </c>
      <c r="AU808">
        <v>2003</v>
      </c>
      <c r="AV808">
        <v>206</v>
      </c>
      <c r="AW808">
        <v>24</v>
      </c>
      <c r="AX808" t="s">
        <v>74</v>
      </c>
      <c r="AY808" t="s">
        <v>74</v>
      </c>
      <c r="AZ808" t="s">
        <v>74</v>
      </c>
      <c r="BA808" t="s">
        <v>74</v>
      </c>
      <c r="BB808">
        <v>4539</v>
      </c>
      <c r="BC808">
        <v>4551</v>
      </c>
      <c r="BD808" t="s">
        <v>74</v>
      </c>
      <c r="BE808" t="s">
        <v>11623</v>
      </c>
      <c r="BF808" t="str">
        <f>HYPERLINK("http://dx.doi.org/10.1242/jeb.00706","http://dx.doi.org/10.1242/jeb.00706")</f>
        <v>http://dx.doi.org/10.1242/jeb.00706</v>
      </c>
      <c r="BG808" t="s">
        <v>74</v>
      </c>
      <c r="BH808" t="s">
        <v>74</v>
      </c>
      <c r="BI808">
        <v>13</v>
      </c>
      <c r="BJ808" t="s">
        <v>1667</v>
      </c>
      <c r="BK808" t="s">
        <v>96</v>
      </c>
      <c r="BL808" t="s">
        <v>1668</v>
      </c>
      <c r="BM808" t="s">
        <v>11609</v>
      </c>
      <c r="BN808">
        <v>14610038</v>
      </c>
      <c r="BO808" t="s">
        <v>541</v>
      </c>
      <c r="BP808" t="s">
        <v>74</v>
      </c>
      <c r="BQ808" t="s">
        <v>74</v>
      </c>
      <c r="BR808" t="s">
        <v>99</v>
      </c>
      <c r="BS808" t="s">
        <v>11624</v>
      </c>
      <c r="BT808" t="str">
        <f>HYPERLINK("https%3A%2F%2Fwww.webofscience.com%2Fwos%2Fwoscc%2Ffull-record%2FWOS:000187394300018","View Full Record in Web of Science")</f>
        <v>View Full Record in Web of Science</v>
      </c>
    </row>
    <row r="809" spans="1:72" x14ac:dyDescent="0.15">
      <c r="A809" t="s">
        <v>72</v>
      </c>
      <c r="B809" t="s">
        <v>11625</v>
      </c>
      <c r="C809" t="s">
        <v>74</v>
      </c>
      <c r="D809" t="s">
        <v>74</v>
      </c>
      <c r="E809" t="s">
        <v>74</v>
      </c>
      <c r="F809" t="s">
        <v>11625</v>
      </c>
      <c r="G809" t="s">
        <v>74</v>
      </c>
      <c r="H809" t="s">
        <v>74</v>
      </c>
      <c r="I809" t="s">
        <v>11626</v>
      </c>
      <c r="J809" t="s">
        <v>11627</v>
      </c>
      <c r="K809" t="s">
        <v>74</v>
      </c>
      <c r="L809" t="s">
        <v>74</v>
      </c>
      <c r="M809" t="s">
        <v>77</v>
      </c>
      <c r="N809" t="s">
        <v>311</v>
      </c>
      <c r="O809" t="s">
        <v>11628</v>
      </c>
      <c r="P809" t="s">
        <v>11629</v>
      </c>
      <c r="Q809" t="s">
        <v>11630</v>
      </c>
      <c r="R809" t="s">
        <v>74</v>
      </c>
      <c r="S809" t="s">
        <v>74</v>
      </c>
      <c r="T809" t="s">
        <v>11631</v>
      </c>
      <c r="U809" t="s">
        <v>11632</v>
      </c>
      <c r="V809" t="s">
        <v>11633</v>
      </c>
      <c r="W809" t="s">
        <v>11634</v>
      </c>
      <c r="X809" t="s">
        <v>11635</v>
      </c>
      <c r="Y809" t="s">
        <v>83</v>
      </c>
      <c r="Z809" t="s">
        <v>11636</v>
      </c>
      <c r="AA809" t="s">
        <v>11637</v>
      </c>
      <c r="AB809" t="s">
        <v>11638</v>
      </c>
      <c r="AC809" t="s">
        <v>74</v>
      </c>
      <c r="AD809" t="s">
        <v>74</v>
      </c>
      <c r="AE809" t="s">
        <v>74</v>
      </c>
      <c r="AF809" t="s">
        <v>74</v>
      </c>
      <c r="AG809">
        <v>44</v>
      </c>
      <c r="AH809">
        <v>20</v>
      </c>
      <c r="AI809">
        <v>21</v>
      </c>
      <c r="AJ809">
        <v>0</v>
      </c>
      <c r="AK809">
        <v>8</v>
      </c>
      <c r="AL809" t="s">
        <v>198</v>
      </c>
      <c r="AM809" t="s">
        <v>178</v>
      </c>
      <c r="AN809" t="s">
        <v>179</v>
      </c>
      <c r="AO809" t="s">
        <v>11639</v>
      </c>
      <c r="AP809" t="s">
        <v>11640</v>
      </c>
      <c r="AQ809" t="s">
        <v>74</v>
      </c>
      <c r="AR809" t="s">
        <v>11641</v>
      </c>
      <c r="AS809" t="s">
        <v>11642</v>
      </c>
      <c r="AT809" t="s">
        <v>10978</v>
      </c>
      <c r="AU809">
        <v>2003</v>
      </c>
      <c r="AV809">
        <v>63</v>
      </c>
      <c r="AW809" t="s">
        <v>74</v>
      </c>
      <c r="AX809" t="s">
        <v>74</v>
      </c>
      <c r="AY809" t="s">
        <v>184</v>
      </c>
      <c r="AZ809" t="s">
        <v>74</v>
      </c>
      <c r="BA809" t="s">
        <v>74</v>
      </c>
      <c r="BB809">
        <v>117</v>
      </c>
      <c r="BC809">
        <v>130</v>
      </c>
      <c r="BD809" t="s">
        <v>74</v>
      </c>
      <c r="BE809" t="s">
        <v>11643</v>
      </c>
      <c r="BF809" t="str">
        <f>HYPERLINK("http://dx.doi.org/10.1111/j.1095-8649.2003.00212.x","http://dx.doi.org/10.1111/j.1095-8649.2003.00212.x")</f>
        <v>http://dx.doi.org/10.1111/j.1095-8649.2003.00212.x</v>
      </c>
      <c r="BG809" t="s">
        <v>74</v>
      </c>
      <c r="BH809" t="s">
        <v>74</v>
      </c>
      <c r="BI809">
        <v>14</v>
      </c>
      <c r="BJ809" t="s">
        <v>2867</v>
      </c>
      <c r="BK809" t="s">
        <v>332</v>
      </c>
      <c r="BL809" t="s">
        <v>2867</v>
      </c>
      <c r="BM809" t="s">
        <v>11644</v>
      </c>
      <c r="BN809" t="s">
        <v>74</v>
      </c>
      <c r="BO809" t="s">
        <v>74</v>
      </c>
      <c r="BP809" t="s">
        <v>74</v>
      </c>
      <c r="BQ809" t="s">
        <v>74</v>
      </c>
      <c r="BR809" t="s">
        <v>99</v>
      </c>
      <c r="BS809" t="s">
        <v>11645</v>
      </c>
      <c r="BT809" t="str">
        <f>HYPERLINK("https%3A%2F%2Fwww.webofscience.com%2Fwos%2Fwoscc%2Ffull-record%2FWOS:000187879700007","View Full Record in Web of Science")</f>
        <v>View Full Record in Web of Science</v>
      </c>
    </row>
    <row r="810" spans="1:72" x14ac:dyDescent="0.15">
      <c r="A810" t="s">
        <v>72</v>
      </c>
      <c r="B810" t="s">
        <v>11646</v>
      </c>
      <c r="C810" t="s">
        <v>74</v>
      </c>
      <c r="D810" t="s">
        <v>74</v>
      </c>
      <c r="E810" t="s">
        <v>74</v>
      </c>
      <c r="F810" t="s">
        <v>11646</v>
      </c>
      <c r="G810" t="s">
        <v>74</v>
      </c>
      <c r="H810" t="s">
        <v>74</v>
      </c>
      <c r="I810" t="s">
        <v>11647</v>
      </c>
      <c r="J810" t="s">
        <v>11648</v>
      </c>
      <c r="K810" t="s">
        <v>74</v>
      </c>
      <c r="L810" t="s">
        <v>74</v>
      </c>
      <c r="M810" t="s">
        <v>77</v>
      </c>
      <c r="N810" t="s">
        <v>78</v>
      </c>
      <c r="O810" t="s">
        <v>74</v>
      </c>
      <c r="P810" t="s">
        <v>74</v>
      </c>
      <c r="Q810" t="s">
        <v>74</v>
      </c>
      <c r="R810" t="s">
        <v>74</v>
      </c>
      <c r="S810" t="s">
        <v>74</v>
      </c>
      <c r="T810" t="s">
        <v>11649</v>
      </c>
      <c r="U810" t="s">
        <v>11650</v>
      </c>
      <c r="V810" t="s">
        <v>11651</v>
      </c>
      <c r="W810" t="s">
        <v>11652</v>
      </c>
      <c r="X810" t="s">
        <v>9712</v>
      </c>
      <c r="Y810" t="s">
        <v>11653</v>
      </c>
      <c r="Z810" t="s">
        <v>11654</v>
      </c>
      <c r="AA810" t="s">
        <v>74</v>
      </c>
      <c r="AB810" t="s">
        <v>74</v>
      </c>
      <c r="AC810" t="s">
        <v>74</v>
      </c>
      <c r="AD810" t="s">
        <v>74</v>
      </c>
      <c r="AE810" t="s">
        <v>74</v>
      </c>
      <c r="AF810" t="s">
        <v>74</v>
      </c>
      <c r="AG810">
        <v>54</v>
      </c>
      <c r="AH810">
        <v>24</v>
      </c>
      <c r="AI810">
        <v>26</v>
      </c>
      <c r="AJ810">
        <v>0</v>
      </c>
      <c r="AK810">
        <v>8</v>
      </c>
      <c r="AL810" t="s">
        <v>86</v>
      </c>
      <c r="AM810" t="s">
        <v>3376</v>
      </c>
      <c r="AN810" t="s">
        <v>3377</v>
      </c>
      <c r="AO810" t="s">
        <v>11655</v>
      </c>
      <c r="AP810" t="s">
        <v>74</v>
      </c>
      <c r="AQ810" t="s">
        <v>74</v>
      </c>
      <c r="AR810" t="s">
        <v>11656</v>
      </c>
      <c r="AS810" t="s">
        <v>11657</v>
      </c>
      <c r="AT810" t="s">
        <v>10978</v>
      </c>
      <c r="AU810">
        <v>2003</v>
      </c>
      <c r="AV810">
        <v>59</v>
      </c>
      <c r="AW810">
        <v>6</v>
      </c>
      <c r="AX810" t="s">
        <v>74</v>
      </c>
      <c r="AY810" t="s">
        <v>74</v>
      </c>
      <c r="AZ810" t="s">
        <v>74</v>
      </c>
      <c r="BA810" t="s">
        <v>74</v>
      </c>
      <c r="BB810">
        <v>809</v>
      </c>
      <c r="BC810">
        <v>818</v>
      </c>
      <c r="BD810" t="s">
        <v>74</v>
      </c>
      <c r="BE810" t="s">
        <v>11658</v>
      </c>
      <c r="BF810" t="str">
        <f>HYPERLINK("http://dx.doi.org/10.1023/B:JOCE.0000009572.08048.0d","http://dx.doi.org/10.1023/B:JOCE.0000009572.08048.0d")</f>
        <v>http://dx.doi.org/10.1023/B:JOCE.0000009572.08048.0d</v>
      </c>
      <c r="BG810" t="s">
        <v>74</v>
      </c>
      <c r="BH810" t="s">
        <v>74</v>
      </c>
      <c r="BI810">
        <v>10</v>
      </c>
      <c r="BJ810" t="s">
        <v>477</v>
      </c>
      <c r="BK810" t="s">
        <v>96</v>
      </c>
      <c r="BL810" t="s">
        <v>477</v>
      </c>
      <c r="BM810" t="s">
        <v>11659</v>
      </c>
      <c r="BN810" t="s">
        <v>74</v>
      </c>
      <c r="BO810" t="s">
        <v>74</v>
      </c>
      <c r="BP810" t="s">
        <v>74</v>
      </c>
      <c r="BQ810" t="s">
        <v>74</v>
      </c>
      <c r="BR810" t="s">
        <v>99</v>
      </c>
      <c r="BS810" t="s">
        <v>11660</v>
      </c>
      <c r="BT810" t="str">
        <f>HYPERLINK("https%3A%2F%2Fwww.webofscience.com%2Fwos%2Fwoscc%2Ffull-record%2FWOS:000186403900005","View Full Record in Web of Science")</f>
        <v>View Full Record in Web of Science</v>
      </c>
    </row>
    <row r="811" spans="1:72" x14ac:dyDescent="0.15">
      <c r="A811" t="s">
        <v>72</v>
      </c>
      <c r="B811" t="s">
        <v>11661</v>
      </c>
      <c r="C811" t="s">
        <v>74</v>
      </c>
      <c r="D811" t="s">
        <v>74</v>
      </c>
      <c r="E811" t="s">
        <v>74</v>
      </c>
      <c r="F811" t="s">
        <v>11661</v>
      </c>
      <c r="G811" t="s">
        <v>74</v>
      </c>
      <c r="H811" t="s">
        <v>74</v>
      </c>
      <c r="I811" t="s">
        <v>11662</v>
      </c>
      <c r="J811" t="s">
        <v>3138</v>
      </c>
      <c r="K811" t="s">
        <v>74</v>
      </c>
      <c r="L811" t="s">
        <v>74</v>
      </c>
      <c r="M811" t="s">
        <v>77</v>
      </c>
      <c r="N811" t="s">
        <v>78</v>
      </c>
      <c r="O811" t="s">
        <v>74</v>
      </c>
      <c r="P811" t="s">
        <v>74</v>
      </c>
      <c r="Q811" t="s">
        <v>74</v>
      </c>
      <c r="R811" t="s">
        <v>74</v>
      </c>
      <c r="S811" t="s">
        <v>74</v>
      </c>
      <c r="T811" t="s">
        <v>11663</v>
      </c>
      <c r="U811" t="s">
        <v>11664</v>
      </c>
      <c r="V811" t="s">
        <v>11665</v>
      </c>
      <c r="W811" t="s">
        <v>11666</v>
      </c>
      <c r="X811" t="s">
        <v>11667</v>
      </c>
      <c r="Y811" t="s">
        <v>11668</v>
      </c>
      <c r="Z811" t="s">
        <v>11669</v>
      </c>
      <c r="AA811" t="s">
        <v>74</v>
      </c>
      <c r="AB811" t="s">
        <v>11670</v>
      </c>
      <c r="AC811" t="s">
        <v>74</v>
      </c>
      <c r="AD811" t="s">
        <v>74</v>
      </c>
      <c r="AE811" t="s">
        <v>74</v>
      </c>
      <c r="AF811" t="s">
        <v>74</v>
      </c>
      <c r="AG811">
        <v>60</v>
      </c>
      <c r="AH811">
        <v>39</v>
      </c>
      <c r="AI811">
        <v>42</v>
      </c>
      <c r="AJ811">
        <v>1</v>
      </c>
      <c r="AK811">
        <v>19</v>
      </c>
      <c r="AL811" t="s">
        <v>198</v>
      </c>
      <c r="AM811" t="s">
        <v>178</v>
      </c>
      <c r="AN811" t="s">
        <v>179</v>
      </c>
      <c r="AO811" t="s">
        <v>3146</v>
      </c>
      <c r="AP811" t="s">
        <v>3147</v>
      </c>
      <c r="AQ811" t="s">
        <v>74</v>
      </c>
      <c r="AR811" t="s">
        <v>3148</v>
      </c>
      <c r="AS811" t="s">
        <v>3149</v>
      </c>
      <c r="AT811" t="s">
        <v>10978</v>
      </c>
      <c r="AU811">
        <v>2003</v>
      </c>
      <c r="AV811">
        <v>39</v>
      </c>
      <c r="AW811">
        <v>6</v>
      </c>
      <c r="AX811" t="s">
        <v>74</v>
      </c>
      <c r="AY811" t="s">
        <v>74</v>
      </c>
      <c r="AZ811" t="s">
        <v>74</v>
      </c>
      <c r="BA811" t="s">
        <v>74</v>
      </c>
      <c r="BB811">
        <v>1085</v>
      </c>
      <c r="BC811">
        <v>1094</v>
      </c>
      <c r="BD811" t="s">
        <v>74</v>
      </c>
      <c r="BE811" t="s">
        <v>11671</v>
      </c>
      <c r="BF811" t="str">
        <f>HYPERLINK("http://dx.doi.org/10.1111/j.0022-3646.2003.03-023.x","http://dx.doi.org/10.1111/j.0022-3646.2003.03-023.x")</f>
        <v>http://dx.doi.org/10.1111/j.0022-3646.2003.03-023.x</v>
      </c>
      <c r="BG811" t="s">
        <v>74</v>
      </c>
      <c r="BH811" t="s">
        <v>74</v>
      </c>
      <c r="BI811">
        <v>10</v>
      </c>
      <c r="BJ811" t="s">
        <v>3151</v>
      </c>
      <c r="BK811" t="s">
        <v>96</v>
      </c>
      <c r="BL811" t="s">
        <v>3151</v>
      </c>
      <c r="BM811" t="s">
        <v>11672</v>
      </c>
      <c r="BN811" t="s">
        <v>74</v>
      </c>
      <c r="BO811" t="s">
        <v>156</v>
      </c>
      <c r="BP811" t="s">
        <v>74</v>
      </c>
      <c r="BQ811" t="s">
        <v>74</v>
      </c>
      <c r="BR811" t="s">
        <v>99</v>
      </c>
      <c r="BS811" t="s">
        <v>11673</v>
      </c>
      <c r="BT811" t="str">
        <f>HYPERLINK("https%3A%2F%2Fwww.webofscience.com%2Fwos%2Fwoscc%2Ffull-record%2FWOS:000186750700007","View Full Record in Web of Science")</f>
        <v>View Full Record in Web of Science</v>
      </c>
    </row>
    <row r="812" spans="1:72" x14ac:dyDescent="0.15">
      <c r="A812" t="s">
        <v>72</v>
      </c>
      <c r="B812" t="s">
        <v>11674</v>
      </c>
      <c r="C812" t="s">
        <v>74</v>
      </c>
      <c r="D812" t="s">
        <v>74</v>
      </c>
      <c r="E812" t="s">
        <v>74</v>
      </c>
      <c r="F812" t="s">
        <v>11674</v>
      </c>
      <c r="G812" t="s">
        <v>74</v>
      </c>
      <c r="H812" t="s">
        <v>74</v>
      </c>
      <c r="I812" t="s">
        <v>11675</v>
      </c>
      <c r="J812" t="s">
        <v>3138</v>
      </c>
      <c r="K812" t="s">
        <v>74</v>
      </c>
      <c r="L812" t="s">
        <v>74</v>
      </c>
      <c r="M812" t="s">
        <v>77</v>
      </c>
      <c r="N812" t="s">
        <v>78</v>
      </c>
      <c r="O812" t="s">
        <v>74</v>
      </c>
      <c r="P812" t="s">
        <v>74</v>
      </c>
      <c r="Q812" t="s">
        <v>74</v>
      </c>
      <c r="R812" t="s">
        <v>74</v>
      </c>
      <c r="S812" t="s">
        <v>74</v>
      </c>
      <c r="T812" t="s">
        <v>11676</v>
      </c>
      <c r="U812" t="s">
        <v>11677</v>
      </c>
      <c r="V812" t="s">
        <v>11678</v>
      </c>
      <c r="W812" t="s">
        <v>11679</v>
      </c>
      <c r="X812" t="s">
        <v>11680</v>
      </c>
      <c r="Y812" t="s">
        <v>11681</v>
      </c>
      <c r="Z812" t="s">
        <v>74</v>
      </c>
      <c r="AA812" t="s">
        <v>11682</v>
      </c>
      <c r="AB812" t="s">
        <v>11683</v>
      </c>
      <c r="AC812" t="s">
        <v>74</v>
      </c>
      <c r="AD812" t="s">
        <v>74</v>
      </c>
      <c r="AE812" t="s">
        <v>74</v>
      </c>
      <c r="AF812" t="s">
        <v>74</v>
      </c>
      <c r="AG812">
        <v>25</v>
      </c>
      <c r="AH812">
        <v>115</v>
      </c>
      <c r="AI812">
        <v>128</v>
      </c>
      <c r="AJ812">
        <v>0</v>
      </c>
      <c r="AK812">
        <v>19</v>
      </c>
      <c r="AL812" t="s">
        <v>11684</v>
      </c>
      <c r="AM812" t="s">
        <v>1823</v>
      </c>
      <c r="AN812" t="s">
        <v>11685</v>
      </c>
      <c r="AO812" t="s">
        <v>3146</v>
      </c>
      <c r="AP812" t="s">
        <v>74</v>
      </c>
      <c r="AQ812" t="s">
        <v>74</v>
      </c>
      <c r="AR812" t="s">
        <v>3148</v>
      </c>
      <c r="AS812" t="s">
        <v>3149</v>
      </c>
      <c r="AT812" t="s">
        <v>10978</v>
      </c>
      <c r="AU812">
        <v>2003</v>
      </c>
      <c r="AV812">
        <v>39</v>
      </c>
      <c r="AW812">
        <v>6</v>
      </c>
      <c r="AX812" t="s">
        <v>74</v>
      </c>
      <c r="AY812" t="s">
        <v>74</v>
      </c>
      <c r="AZ812" t="s">
        <v>74</v>
      </c>
      <c r="BA812" t="s">
        <v>74</v>
      </c>
      <c r="BB812">
        <v>1233</v>
      </c>
      <c r="BC812">
        <v>1246</v>
      </c>
      <c r="BD812" t="s">
        <v>74</v>
      </c>
      <c r="BE812" t="s">
        <v>11686</v>
      </c>
      <c r="BF812" t="str">
        <f>HYPERLINK("http://dx.doi.org/10.1111/j.0022-3646.2003.03-019.x","http://dx.doi.org/10.1111/j.0022-3646.2003.03-019.x")</f>
        <v>http://dx.doi.org/10.1111/j.0022-3646.2003.03-019.x</v>
      </c>
      <c r="BG812" t="s">
        <v>74</v>
      </c>
      <c r="BH812" t="s">
        <v>74</v>
      </c>
      <c r="BI812">
        <v>14</v>
      </c>
      <c r="BJ812" t="s">
        <v>3151</v>
      </c>
      <c r="BK812" t="s">
        <v>96</v>
      </c>
      <c r="BL812" t="s">
        <v>3151</v>
      </c>
      <c r="BM812" t="s">
        <v>11672</v>
      </c>
      <c r="BN812" t="s">
        <v>74</v>
      </c>
      <c r="BO812" t="s">
        <v>74</v>
      </c>
      <c r="BP812" t="s">
        <v>74</v>
      </c>
      <c r="BQ812" t="s">
        <v>74</v>
      </c>
      <c r="BR812" t="s">
        <v>99</v>
      </c>
      <c r="BS812" t="s">
        <v>11687</v>
      </c>
      <c r="BT812" t="str">
        <f>HYPERLINK("https%3A%2F%2Fwww.webofscience.com%2Fwos%2Fwoscc%2Ffull-record%2FWOS:000186750700020","View Full Record in Web of Science")</f>
        <v>View Full Record in Web of Science</v>
      </c>
    </row>
    <row r="813" spans="1:72" x14ac:dyDescent="0.15">
      <c r="A813" t="s">
        <v>72</v>
      </c>
      <c r="B813" t="s">
        <v>11688</v>
      </c>
      <c r="C813" t="s">
        <v>74</v>
      </c>
      <c r="D813" t="s">
        <v>74</v>
      </c>
      <c r="E813" t="s">
        <v>74</v>
      </c>
      <c r="F813" t="s">
        <v>11688</v>
      </c>
      <c r="G813" t="s">
        <v>74</v>
      </c>
      <c r="H813" t="s">
        <v>74</v>
      </c>
      <c r="I813" t="s">
        <v>11689</v>
      </c>
      <c r="J813" t="s">
        <v>1693</v>
      </c>
      <c r="K813" t="s">
        <v>74</v>
      </c>
      <c r="L813" t="s">
        <v>74</v>
      </c>
      <c r="M813" t="s">
        <v>77</v>
      </c>
      <c r="N813" t="s">
        <v>78</v>
      </c>
      <c r="O813" t="s">
        <v>74</v>
      </c>
      <c r="P813" t="s">
        <v>74</v>
      </c>
      <c r="Q813" t="s">
        <v>74</v>
      </c>
      <c r="R813" t="s">
        <v>74</v>
      </c>
      <c r="S813" t="s">
        <v>74</v>
      </c>
      <c r="T813" t="s">
        <v>74</v>
      </c>
      <c r="U813" t="s">
        <v>11690</v>
      </c>
      <c r="V813" t="s">
        <v>11691</v>
      </c>
      <c r="W813" t="s">
        <v>11692</v>
      </c>
      <c r="X813" t="s">
        <v>11693</v>
      </c>
      <c r="Y813" t="s">
        <v>11694</v>
      </c>
      <c r="Z813" t="s">
        <v>11695</v>
      </c>
      <c r="AA813" t="s">
        <v>11696</v>
      </c>
      <c r="AB813" t="s">
        <v>11697</v>
      </c>
      <c r="AC813" t="s">
        <v>74</v>
      </c>
      <c r="AD813" t="s">
        <v>74</v>
      </c>
      <c r="AE813" t="s">
        <v>74</v>
      </c>
      <c r="AF813" t="s">
        <v>74</v>
      </c>
      <c r="AG813">
        <v>51</v>
      </c>
      <c r="AH813">
        <v>307</v>
      </c>
      <c r="AI813">
        <v>339</v>
      </c>
      <c r="AJ813">
        <v>0</v>
      </c>
      <c r="AK813">
        <v>24</v>
      </c>
      <c r="AL813" t="s">
        <v>297</v>
      </c>
      <c r="AM813" t="s">
        <v>298</v>
      </c>
      <c r="AN813" t="s">
        <v>299</v>
      </c>
      <c r="AO813" t="s">
        <v>1700</v>
      </c>
      <c r="AP813" t="s">
        <v>74</v>
      </c>
      <c r="AQ813" t="s">
        <v>74</v>
      </c>
      <c r="AR813" t="s">
        <v>1701</v>
      </c>
      <c r="AS813" t="s">
        <v>1702</v>
      </c>
      <c r="AT813" t="s">
        <v>10978</v>
      </c>
      <c r="AU813">
        <v>2003</v>
      </c>
      <c r="AV813">
        <v>33</v>
      </c>
      <c r="AW813">
        <v>12</v>
      </c>
      <c r="AX813" t="s">
        <v>74</v>
      </c>
      <c r="AY813" t="s">
        <v>74</v>
      </c>
      <c r="AZ813" t="s">
        <v>74</v>
      </c>
      <c r="BA813" t="s">
        <v>74</v>
      </c>
      <c r="BB813">
        <v>2504</v>
      </c>
      <c r="BC813">
        <v>2526</v>
      </c>
      <c r="BD813" t="s">
        <v>74</v>
      </c>
      <c r="BE813" t="s">
        <v>11698</v>
      </c>
      <c r="BF813" t="str">
        <f>HYPERLINK("http://dx.doi.org/10.1175/1520-0485(2003)033&lt;2504:NASWTH&gt;2.0.CO;2","http://dx.doi.org/10.1175/1520-0485(2003)033&lt;2504:NASWTH&gt;2.0.CO;2")</f>
        <v>http://dx.doi.org/10.1175/1520-0485(2003)033&lt;2504:NASWTH&gt;2.0.CO;2</v>
      </c>
      <c r="BG813" t="s">
        <v>74</v>
      </c>
      <c r="BH813" t="s">
        <v>74</v>
      </c>
      <c r="BI813">
        <v>23</v>
      </c>
      <c r="BJ813" t="s">
        <v>477</v>
      </c>
      <c r="BK813" t="s">
        <v>96</v>
      </c>
      <c r="BL813" t="s">
        <v>477</v>
      </c>
      <c r="BM813" t="s">
        <v>11699</v>
      </c>
      <c r="BN813" t="s">
        <v>74</v>
      </c>
      <c r="BO813" t="s">
        <v>286</v>
      </c>
      <c r="BP813" t="s">
        <v>74</v>
      </c>
      <c r="BQ813" t="s">
        <v>74</v>
      </c>
      <c r="BR813" t="s">
        <v>99</v>
      </c>
      <c r="BS813" t="s">
        <v>11700</v>
      </c>
      <c r="BT813" t="str">
        <f>HYPERLINK("https%3A%2F%2Fwww.webofscience.com%2Fwos%2Fwoscc%2Ffull-record%2FWOS:000187327400003","View Full Record in Web of Science")</f>
        <v>View Full Record in Web of Science</v>
      </c>
    </row>
    <row r="814" spans="1:72" x14ac:dyDescent="0.15">
      <c r="A814" t="s">
        <v>72</v>
      </c>
      <c r="B814" t="s">
        <v>11701</v>
      </c>
      <c r="C814" t="s">
        <v>74</v>
      </c>
      <c r="D814" t="s">
        <v>74</v>
      </c>
      <c r="E814" t="s">
        <v>74</v>
      </c>
      <c r="F814" t="s">
        <v>11701</v>
      </c>
      <c r="G814" t="s">
        <v>74</v>
      </c>
      <c r="H814" t="s">
        <v>74</v>
      </c>
      <c r="I814" t="s">
        <v>11702</v>
      </c>
      <c r="J814" t="s">
        <v>1693</v>
      </c>
      <c r="K814" t="s">
        <v>74</v>
      </c>
      <c r="L814" t="s">
        <v>74</v>
      </c>
      <c r="M814" t="s">
        <v>77</v>
      </c>
      <c r="N814" t="s">
        <v>78</v>
      </c>
      <c r="O814" t="s">
        <v>74</v>
      </c>
      <c r="P814" t="s">
        <v>74</v>
      </c>
      <c r="Q814" t="s">
        <v>74</v>
      </c>
      <c r="R814" t="s">
        <v>74</v>
      </c>
      <c r="S814" t="s">
        <v>74</v>
      </c>
      <c r="T814" t="s">
        <v>74</v>
      </c>
      <c r="U814" t="s">
        <v>11703</v>
      </c>
      <c r="V814" t="s">
        <v>11704</v>
      </c>
      <c r="W814" t="s">
        <v>11705</v>
      </c>
      <c r="X814" t="s">
        <v>11706</v>
      </c>
      <c r="Y814" t="s">
        <v>11707</v>
      </c>
      <c r="Z814" t="s">
        <v>11708</v>
      </c>
      <c r="AA814" t="s">
        <v>11709</v>
      </c>
      <c r="AB814" t="s">
        <v>11710</v>
      </c>
      <c r="AC814" t="s">
        <v>74</v>
      </c>
      <c r="AD814" t="s">
        <v>74</v>
      </c>
      <c r="AE814" t="s">
        <v>74</v>
      </c>
      <c r="AF814" t="s">
        <v>74</v>
      </c>
      <c r="AG814">
        <v>57</v>
      </c>
      <c r="AH814">
        <v>49</v>
      </c>
      <c r="AI814">
        <v>51</v>
      </c>
      <c r="AJ814">
        <v>0</v>
      </c>
      <c r="AK814">
        <v>8</v>
      </c>
      <c r="AL814" t="s">
        <v>297</v>
      </c>
      <c r="AM814" t="s">
        <v>298</v>
      </c>
      <c r="AN814" t="s">
        <v>299</v>
      </c>
      <c r="AO814" t="s">
        <v>1700</v>
      </c>
      <c r="AP814" t="s">
        <v>74</v>
      </c>
      <c r="AQ814" t="s">
        <v>74</v>
      </c>
      <c r="AR814" t="s">
        <v>1701</v>
      </c>
      <c r="AS814" t="s">
        <v>1702</v>
      </c>
      <c r="AT814" t="s">
        <v>10978</v>
      </c>
      <c r="AU814">
        <v>2003</v>
      </c>
      <c r="AV814">
        <v>33</v>
      </c>
      <c r="AW814">
        <v>12</v>
      </c>
      <c r="AX814" t="s">
        <v>74</v>
      </c>
      <c r="AY814" t="s">
        <v>74</v>
      </c>
      <c r="AZ814" t="s">
        <v>74</v>
      </c>
      <c r="BA814" t="s">
        <v>74</v>
      </c>
      <c r="BB814">
        <v>2565</v>
      </c>
      <c r="BC814">
        <v>2587</v>
      </c>
      <c r="BD814" t="s">
        <v>74</v>
      </c>
      <c r="BE814" t="s">
        <v>74</v>
      </c>
      <c r="BF814" t="s">
        <v>74</v>
      </c>
      <c r="BG814" t="s">
        <v>74</v>
      </c>
      <c r="BH814" t="s">
        <v>74</v>
      </c>
      <c r="BI814">
        <v>23</v>
      </c>
      <c r="BJ814" t="s">
        <v>477</v>
      </c>
      <c r="BK814" t="s">
        <v>96</v>
      </c>
      <c r="BL814" t="s">
        <v>477</v>
      </c>
      <c r="BM814" t="s">
        <v>11699</v>
      </c>
      <c r="BN814" t="s">
        <v>74</v>
      </c>
      <c r="BO814" t="s">
        <v>11711</v>
      </c>
      <c r="BP814" t="s">
        <v>74</v>
      </c>
      <c r="BQ814" t="s">
        <v>74</v>
      </c>
      <c r="BR814" t="s">
        <v>99</v>
      </c>
      <c r="BS814" t="s">
        <v>11712</v>
      </c>
      <c r="BT814" t="str">
        <f>HYPERLINK("https%3A%2F%2Fwww.webofscience.com%2Fwos%2Fwoscc%2Ffull-record%2FWOS:000187327400007","View Full Record in Web of Science")</f>
        <v>View Full Record in Web of Science</v>
      </c>
    </row>
    <row r="815" spans="1:72" x14ac:dyDescent="0.15">
      <c r="A815" t="s">
        <v>72</v>
      </c>
      <c r="B815" t="s">
        <v>11713</v>
      </c>
      <c r="C815" t="s">
        <v>74</v>
      </c>
      <c r="D815" t="s">
        <v>74</v>
      </c>
      <c r="E815" t="s">
        <v>74</v>
      </c>
      <c r="F815" t="s">
        <v>11713</v>
      </c>
      <c r="G815" t="s">
        <v>74</v>
      </c>
      <c r="H815" t="s">
        <v>74</v>
      </c>
      <c r="I815" t="s">
        <v>11714</v>
      </c>
      <c r="J815" t="s">
        <v>1693</v>
      </c>
      <c r="K815" t="s">
        <v>74</v>
      </c>
      <c r="L815" t="s">
        <v>74</v>
      </c>
      <c r="M815" t="s">
        <v>77</v>
      </c>
      <c r="N815" t="s">
        <v>78</v>
      </c>
      <c r="O815" t="s">
        <v>74</v>
      </c>
      <c r="P815" t="s">
        <v>74</v>
      </c>
      <c r="Q815" t="s">
        <v>74</v>
      </c>
      <c r="R815" t="s">
        <v>74</v>
      </c>
      <c r="S815" t="s">
        <v>74</v>
      </c>
      <c r="T815" t="s">
        <v>74</v>
      </c>
      <c r="U815" t="s">
        <v>11715</v>
      </c>
      <c r="V815" t="s">
        <v>11716</v>
      </c>
      <c r="W815" t="s">
        <v>11717</v>
      </c>
      <c r="X815" t="s">
        <v>11718</v>
      </c>
      <c r="Y815" t="s">
        <v>11719</v>
      </c>
      <c r="Z815" t="s">
        <v>74</v>
      </c>
      <c r="AA815" t="s">
        <v>74</v>
      </c>
      <c r="AB815" t="s">
        <v>74</v>
      </c>
      <c r="AC815" t="s">
        <v>74</v>
      </c>
      <c r="AD815" t="s">
        <v>74</v>
      </c>
      <c r="AE815" t="s">
        <v>74</v>
      </c>
      <c r="AF815" t="s">
        <v>74</v>
      </c>
      <c r="AG815">
        <v>29</v>
      </c>
      <c r="AH815">
        <v>15</v>
      </c>
      <c r="AI815">
        <v>15</v>
      </c>
      <c r="AJ815">
        <v>0</v>
      </c>
      <c r="AK815">
        <v>9</v>
      </c>
      <c r="AL815" t="s">
        <v>297</v>
      </c>
      <c r="AM815" t="s">
        <v>298</v>
      </c>
      <c r="AN815" t="s">
        <v>299</v>
      </c>
      <c r="AO815" t="s">
        <v>1700</v>
      </c>
      <c r="AP815" t="s">
        <v>74</v>
      </c>
      <c r="AQ815" t="s">
        <v>74</v>
      </c>
      <c r="AR815" t="s">
        <v>1701</v>
      </c>
      <c r="AS815" t="s">
        <v>1702</v>
      </c>
      <c r="AT815" t="s">
        <v>10978</v>
      </c>
      <c r="AU815">
        <v>2003</v>
      </c>
      <c r="AV815">
        <v>33</v>
      </c>
      <c r="AW815">
        <v>12</v>
      </c>
      <c r="AX815" t="s">
        <v>74</v>
      </c>
      <c r="AY815" t="s">
        <v>74</v>
      </c>
      <c r="AZ815" t="s">
        <v>74</v>
      </c>
      <c r="BA815" t="s">
        <v>74</v>
      </c>
      <c r="BB815">
        <v>2719</v>
      </c>
      <c r="BC815">
        <v>2737</v>
      </c>
      <c r="BD815" t="s">
        <v>74</v>
      </c>
      <c r="BE815" t="s">
        <v>11720</v>
      </c>
      <c r="BF815" t="str">
        <f>HYPERLINK("http://dx.doi.org/10.1175/1520-0485(2003)033&lt;2719:ASGCMF&gt;2.0.CO;2","http://dx.doi.org/10.1175/1520-0485(2003)033&lt;2719:ASGCMF&gt;2.0.CO;2")</f>
        <v>http://dx.doi.org/10.1175/1520-0485(2003)033&lt;2719:ASGCMF&gt;2.0.CO;2</v>
      </c>
      <c r="BG815" t="s">
        <v>74</v>
      </c>
      <c r="BH815" t="s">
        <v>74</v>
      </c>
      <c r="BI815">
        <v>19</v>
      </c>
      <c r="BJ815" t="s">
        <v>477</v>
      </c>
      <c r="BK815" t="s">
        <v>96</v>
      </c>
      <c r="BL815" t="s">
        <v>477</v>
      </c>
      <c r="BM815" t="s">
        <v>11699</v>
      </c>
      <c r="BN815" t="s">
        <v>74</v>
      </c>
      <c r="BO815" t="s">
        <v>516</v>
      </c>
      <c r="BP815" t="s">
        <v>74</v>
      </c>
      <c r="BQ815" t="s">
        <v>74</v>
      </c>
      <c r="BR815" t="s">
        <v>99</v>
      </c>
      <c r="BS815" t="s">
        <v>11721</v>
      </c>
      <c r="BT815" t="str">
        <f>HYPERLINK("https%3A%2F%2Fwww.webofscience.com%2Fwos%2Fwoscc%2Ffull-record%2FWOS:000187327400016","View Full Record in Web of Science")</f>
        <v>View Full Record in Web of Science</v>
      </c>
    </row>
    <row r="816" spans="1:72" x14ac:dyDescent="0.15">
      <c r="A816" t="s">
        <v>72</v>
      </c>
      <c r="B816" t="s">
        <v>11722</v>
      </c>
      <c r="C816" t="s">
        <v>74</v>
      </c>
      <c r="D816" t="s">
        <v>74</v>
      </c>
      <c r="E816" t="s">
        <v>74</v>
      </c>
      <c r="F816" t="s">
        <v>11722</v>
      </c>
      <c r="G816" t="s">
        <v>74</v>
      </c>
      <c r="H816" t="s">
        <v>74</v>
      </c>
      <c r="I816" t="s">
        <v>11723</v>
      </c>
      <c r="J816" t="s">
        <v>1693</v>
      </c>
      <c r="K816" t="s">
        <v>74</v>
      </c>
      <c r="L816" t="s">
        <v>74</v>
      </c>
      <c r="M816" t="s">
        <v>77</v>
      </c>
      <c r="N816" t="s">
        <v>78</v>
      </c>
      <c r="O816" t="s">
        <v>74</v>
      </c>
      <c r="P816" t="s">
        <v>74</v>
      </c>
      <c r="Q816" t="s">
        <v>74</v>
      </c>
      <c r="R816" t="s">
        <v>74</v>
      </c>
      <c r="S816" t="s">
        <v>74</v>
      </c>
      <c r="T816" t="s">
        <v>74</v>
      </c>
      <c r="U816" t="s">
        <v>11724</v>
      </c>
      <c r="V816" t="s">
        <v>11725</v>
      </c>
      <c r="W816" t="s">
        <v>11726</v>
      </c>
      <c r="X816" t="s">
        <v>11727</v>
      </c>
      <c r="Y816" t="s">
        <v>11728</v>
      </c>
      <c r="Z816" t="s">
        <v>11729</v>
      </c>
      <c r="AA816" t="s">
        <v>11730</v>
      </c>
      <c r="AB816" t="s">
        <v>11731</v>
      </c>
      <c r="AC816" t="s">
        <v>74</v>
      </c>
      <c r="AD816" t="s">
        <v>74</v>
      </c>
      <c r="AE816" t="s">
        <v>74</v>
      </c>
      <c r="AF816" t="s">
        <v>74</v>
      </c>
      <c r="AG816">
        <v>37</v>
      </c>
      <c r="AH816">
        <v>10</v>
      </c>
      <c r="AI816">
        <v>10</v>
      </c>
      <c r="AJ816">
        <v>0</v>
      </c>
      <c r="AK816">
        <v>1</v>
      </c>
      <c r="AL816" t="s">
        <v>297</v>
      </c>
      <c r="AM816" t="s">
        <v>298</v>
      </c>
      <c r="AN816" t="s">
        <v>299</v>
      </c>
      <c r="AO816" t="s">
        <v>1700</v>
      </c>
      <c r="AP816" t="s">
        <v>3162</v>
      </c>
      <c r="AQ816" t="s">
        <v>74</v>
      </c>
      <c r="AR816" t="s">
        <v>1701</v>
      </c>
      <c r="AS816" t="s">
        <v>1702</v>
      </c>
      <c r="AT816" t="s">
        <v>10978</v>
      </c>
      <c r="AU816">
        <v>2003</v>
      </c>
      <c r="AV816">
        <v>33</v>
      </c>
      <c r="AW816">
        <v>12</v>
      </c>
      <c r="AX816" t="s">
        <v>74</v>
      </c>
      <c r="AY816" t="s">
        <v>74</v>
      </c>
      <c r="AZ816" t="s">
        <v>74</v>
      </c>
      <c r="BA816" t="s">
        <v>74</v>
      </c>
      <c r="BB816">
        <v>2796</v>
      </c>
      <c r="BC816">
        <v>2814</v>
      </c>
      <c r="BD816" t="s">
        <v>74</v>
      </c>
      <c r="BE816" t="s">
        <v>11732</v>
      </c>
      <c r="BF816" t="str">
        <f>HYPERLINK("http://dx.doi.org/10.1175/1520-0485(2003)033&lt;2796:IOTTTC&gt;2.0.CO;2","http://dx.doi.org/10.1175/1520-0485(2003)033&lt;2796:IOTTTC&gt;2.0.CO;2")</f>
        <v>http://dx.doi.org/10.1175/1520-0485(2003)033&lt;2796:IOTTTC&gt;2.0.CO;2</v>
      </c>
      <c r="BG816" t="s">
        <v>74</v>
      </c>
      <c r="BH816" t="s">
        <v>74</v>
      </c>
      <c r="BI816">
        <v>19</v>
      </c>
      <c r="BJ816" t="s">
        <v>477</v>
      </c>
      <c r="BK816" t="s">
        <v>96</v>
      </c>
      <c r="BL816" t="s">
        <v>477</v>
      </c>
      <c r="BM816" t="s">
        <v>11699</v>
      </c>
      <c r="BN816" t="s">
        <v>74</v>
      </c>
      <c r="BO816" t="s">
        <v>156</v>
      </c>
      <c r="BP816" t="s">
        <v>74</v>
      </c>
      <c r="BQ816" t="s">
        <v>74</v>
      </c>
      <c r="BR816" t="s">
        <v>99</v>
      </c>
      <c r="BS816" t="s">
        <v>11733</v>
      </c>
      <c r="BT816" t="str">
        <f>HYPERLINK("https%3A%2F%2Fwww.webofscience.com%2Fwos%2Fwoscc%2Ffull-record%2FWOS:000187327400021","View Full Record in Web of Science")</f>
        <v>View Full Record in Web of Science</v>
      </c>
    </row>
    <row r="817" spans="1:72" x14ac:dyDescent="0.15">
      <c r="A817" t="s">
        <v>72</v>
      </c>
      <c r="B817" t="s">
        <v>11734</v>
      </c>
      <c r="C817" t="s">
        <v>74</v>
      </c>
      <c r="D817" t="s">
        <v>74</v>
      </c>
      <c r="E817" t="s">
        <v>74</v>
      </c>
      <c r="F817" t="s">
        <v>11734</v>
      </c>
      <c r="G817" t="s">
        <v>74</v>
      </c>
      <c r="H817" t="s">
        <v>74</v>
      </c>
      <c r="I817" t="s">
        <v>11735</v>
      </c>
      <c r="J817" t="s">
        <v>3181</v>
      </c>
      <c r="K817" t="s">
        <v>74</v>
      </c>
      <c r="L817" t="s">
        <v>74</v>
      </c>
      <c r="M817" t="s">
        <v>77</v>
      </c>
      <c r="N817" t="s">
        <v>78</v>
      </c>
      <c r="O817" t="s">
        <v>74</v>
      </c>
      <c r="P817" t="s">
        <v>74</v>
      </c>
      <c r="Q817" t="s">
        <v>74</v>
      </c>
      <c r="R817" t="s">
        <v>74</v>
      </c>
      <c r="S817" t="s">
        <v>74</v>
      </c>
      <c r="T817" t="s">
        <v>74</v>
      </c>
      <c r="U817" t="s">
        <v>11736</v>
      </c>
      <c r="V817" t="s">
        <v>11737</v>
      </c>
      <c r="W817" t="s">
        <v>3899</v>
      </c>
      <c r="X817" t="s">
        <v>1808</v>
      </c>
      <c r="Y817" t="s">
        <v>4244</v>
      </c>
      <c r="Z817" t="s">
        <v>11738</v>
      </c>
      <c r="AA817" t="s">
        <v>74</v>
      </c>
      <c r="AB817" t="s">
        <v>74</v>
      </c>
      <c r="AC817" t="s">
        <v>74</v>
      </c>
      <c r="AD817" t="s">
        <v>74</v>
      </c>
      <c r="AE817" t="s">
        <v>74</v>
      </c>
      <c r="AF817" t="s">
        <v>74</v>
      </c>
      <c r="AG817">
        <v>40</v>
      </c>
      <c r="AH817">
        <v>44</v>
      </c>
      <c r="AI817">
        <v>47</v>
      </c>
      <c r="AJ817">
        <v>0</v>
      </c>
      <c r="AK817">
        <v>16</v>
      </c>
      <c r="AL817" t="s">
        <v>277</v>
      </c>
      <c r="AM817" t="s">
        <v>214</v>
      </c>
      <c r="AN817" t="s">
        <v>278</v>
      </c>
      <c r="AO817" t="s">
        <v>3188</v>
      </c>
      <c r="AP817" t="s">
        <v>11739</v>
      </c>
      <c r="AQ817" t="s">
        <v>74</v>
      </c>
      <c r="AR817" t="s">
        <v>3189</v>
      </c>
      <c r="AS817" t="s">
        <v>3190</v>
      </c>
      <c r="AT817" t="s">
        <v>10978</v>
      </c>
      <c r="AU817">
        <v>2003</v>
      </c>
      <c r="AV817">
        <v>25</v>
      </c>
      <c r="AW817">
        <v>12</v>
      </c>
      <c r="AX817" t="s">
        <v>74</v>
      </c>
      <c r="AY817" t="s">
        <v>74</v>
      </c>
      <c r="AZ817" t="s">
        <v>74</v>
      </c>
      <c r="BA817" t="s">
        <v>74</v>
      </c>
      <c r="BB817">
        <v>1561</v>
      </c>
      <c r="BC817">
        <v>1579</v>
      </c>
      <c r="BD817" t="s">
        <v>74</v>
      </c>
      <c r="BE817" t="s">
        <v>11740</v>
      </c>
      <c r="BF817" t="str">
        <f>HYPERLINK("http://dx.doi.org/10.1093/plankt/fbg108","http://dx.doi.org/10.1093/plankt/fbg108")</f>
        <v>http://dx.doi.org/10.1093/plankt/fbg108</v>
      </c>
      <c r="BG817" t="s">
        <v>74</v>
      </c>
      <c r="BH817" t="s">
        <v>74</v>
      </c>
      <c r="BI817">
        <v>19</v>
      </c>
      <c r="BJ817" t="s">
        <v>3192</v>
      </c>
      <c r="BK817" t="s">
        <v>96</v>
      </c>
      <c r="BL817" t="s">
        <v>3192</v>
      </c>
      <c r="BM817" t="s">
        <v>11741</v>
      </c>
      <c r="BN817" t="s">
        <v>74</v>
      </c>
      <c r="BO817" t="s">
        <v>541</v>
      </c>
      <c r="BP817" t="s">
        <v>74</v>
      </c>
      <c r="BQ817" t="s">
        <v>74</v>
      </c>
      <c r="BR817" t="s">
        <v>99</v>
      </c>
      <c r="BS817" t="s">
        <v>11742</v>
      </c>
      <c r="BT817" t="str">
        <f>HYPERLINK("https%3A%2F%2Fwww.webofscience.com%2Fwos%2Fwoscc%2Ffull-record%2FWOS:000187232500010","View Full Record in Web of Science")</f>
        <v>View Full Record in Web of Science</v>
      </c>
    </row>
    <row r="818" spans="1:72" x14ac:dyDescent="0.15">
      <c r="A818" t="s">
        <v>72</v>
      </c>
      <c r="B818" t="s">
        <v>11743</v>
      </c>
      <c r="C818" t="s">
        <v>74</v>
      </c>
      <c r="D818" t="s">
        <v>74</v>
      </c>
      <c r="E818" t="s">
        <v>74</v>
      </c>
      <c r="F818" t="s">
        <v>11743</v>
      </c>
      <c r="G818" t="s">
        <v>74</v>
      </c>
      <c r="H818" t="s">
        <v>74</v>
      </c>
      <c r="I818" t="s">
        <v>11744</v>
      </c>
      <c r="J818" t="s">
        <v>11745</v>
      </c>
      <c r="K818" t="s">
        <v>74</v>
      </c>
      <c r="L818" t="s">
        <v>74</v>
      </c>
      <c r="M818" t="s">
        <v>77</v>
      </c>
      <c r="N818" t="s">
        <v>78</v>
      </c>
      <c r="O818" t="s">
        <v>74</v>
      </c>
      <c r="P818" t="s">
        <v>74</v>
      </c>
      <c r="Q818" t="s">
        <v>74</v>
      </c>
      <c r="R818" t="s">
        <v>74</v>
      </c>
      <c r="S818" t="s">
        <v>74</v>
      </c>
      <c r="T818" t="s">
        <v>11746</v>
      </c>
      <c r="U818" t="s">
        <v>11747</v>
      </c>
      <c r="V818" t="s">
        <v>11748</v>
      </c>
      <c r="W818" t="s">
        <v>11749</v>
      </c>
      <c r="X818" t="s">
        <v>11750</v>
      </c>
      <c r="Y818" t="s">
        <v>11751</v>
      </c>
      <c r="Z818" t="s">
        <v>11752</v>
      </c>
      <c r="AA818" t="s">
        <v>11753</v>
      </c>
      <c r="AB818" t="s">
        <v>11754</v>
      </c>
      <c r="AC818" t="s">
        <v>74</v>
      </c>
      <c r="AD818" t="s">
        <v>74</v>
      </c>
      <c r="AE818" t="s">
        <v>74</v>
      </c>
      <c r="AF818" t="s">
        <v>74</v>
      </c>
      <c r="AG818">
        <v>49</v>
      </c>
      <c r="AH818">
        <v>29</v>
      </c>
      <c r="AI818">
        <v>32</v>
      </c>
      <c r="AJ818">
        <v>0</v>
      </c>
      <c r="AK818">
        <v>7</v>
      </c>
      <c r="AL818" t="s">
        <v>198</v>
      </c>
      <c r="AM818" t="s">
        <v>178</v>
      </c>
      <c r="AN818" t="s">
        <v>179</v>
      </c>
      <c r="AO818" t="s">
        <v>11755</v>
      </c>
      <c r="AP818" t="s">
        <v>11756</v>
      </c>
      <c r="AQ818" t="s">
        <v>74</v>
      </c>
      <c r="AR818" t="s">
        <v>11757</v>
      </c>
      <c r="AS818" t="s">
        <v>11758</v>
      </c>
      <c r="AT818" t="s">
        <v>10978</v>
      </c>
      <c r="AU818">
        <v>2003</v>
      </c>
      <c r="AV818">
        <v>18</v>
      </c>
      <c r="AW818">
        <v>8</v>
      </c>
      <c r="AX818" t="s">
        <v>74</v>
      </c>
      <c r="AY818" t="s">
        <v>74</v>
      </c>
      <c r="AZ818" t="s">
        <v>74</v>
      </c>
      <c r="BA818" t="s">
        <v>74</v>
      </c>
      <c r="BB818">
        <v>733</v>
      </c>
      <c r="BC818">
        <v>743</v>
      </c>
      <c r="BD818" t="s">
        <v>74</v>
      </c>
      <c r="BE818" t="s">
        <v>11759</v>
      </c>
      <c r="BF818" t="str">
        <f>HYPERLINK("http://dx.doi.org/10.1002/jqs.789","http://dx.doi.org/10.1002/jqs.789")</f>
        <v>http://dx.doi.org/10.1002/jqs.789</v>
      </c>
      <c r="BG818" t="s">
        <v>74</v>
      </c>
      <c r="BH818" t="s">
        <v>74</v>
      </c>
      <c r="BI818">
        <v>11</v>
      </c>
      <c r="BJ818" t="s">
        <v>1400</v>
      </c>
      <c r="BK818" t="s">
        <v>96</v>
      </c>
      <c r="BL818" t="s">
        <v>1401</v>
      </c>
      <c r="BM818" t="s">
        <v>11760</v>
      </c>
      <c r="BN818" t="s">
        <v>74</v>
      </c>
      <c r="BO818" t="s">
        <v>74</v>
      </c>
      <c r="BP818" t="s">
        <v>74</v>
      </c>
      <c r="BQ818" t="s">
        <v>74</v>
      </c>
      <c r="BR818" t="s">
        <v>99</v>
      </c>
      <c r="BS818" t="s">
        <v>11761</v>
      </c>
      <c r="BT818" t="str">
        <f>HYPERLINK("https%3A%2F%2Fwww.webofscience.com%2Fwos%2Fwoscc%2Ffull-record%2FWOS:000187670300005","View Full Record in Web of Science")</f>
        <v>View Full Record in Web of Science</v>
      </c>
    </row>
    <row r="819" spans="1:72" x14ac:dyDescent="0.15">
      <c r="A819" t="s">
        <v>72</v>
      </c>
      <c r="B819" t="s">
        <v>11762</v>
      </c>
      <c r="C819" t="s">
        <v>74</v>
      </c>
      <c r="D819" t="s">
        <v>74</v>
      </c>
      <c r="E819" t="s">
        <v>74</v>
      </c>
      <c r="F819" t="s">
        <v>11762</v>
      </c>
      <c r="G819" t="s">
        <v>74</v>
      </c>
      <c r="H819" t="s">
        <v>74</v>
      </c>
      <c r="I819" t="s">
        <v>11763</v>
      </c>
      <c r="J819" t="s">
        <v>3197</v>
      </c>
      <c r="K819" t="s">
        <v>74</v>
      </c>
      <c r="L819" t="s">
        <v>74</v>
      </c>
      <c r="M819" t="s">
        <v>77</v>
      </c>
      <c r="N819" t="s">
        <v>78</v>
      </c>
      <c r="O819" t="s">
        <v>74</v>
      </c>
      <c r="P819" t="s">
        <v>74</v>
      </c>
      <c r="Q819" t="s">
        <v>74</v>
      </c>
      <c r="R819" t="s">
        <v>74</v>
      </c>
      <c r="S819" t="s">
        <v>74</v>
      </c>
      <c r="T819" t="s">
        <v>74</v>
      </c>
      <c r="U819" t="s">
        <v>11764</v>
      </c>
      <c r="V819" t="s">
        <v>11765</v>
      </c>
      <c r="W819" t="s">
        <v>11766</v>
      </c>
      <c r="X819" t="s">
        <v>11767</v>
      </c>
      <c r="Y819" t="s">
        <v>11768</v>
      </c>
      <c r="Z819" t="s">
        <v>11769</v>
      </c>
      <c r="AA819" t="s">
        <v>74</v>
      </c>
      <c r="AB819" t="s">
        <v>11770</v>
      </c>
      <c r="AC819" t="s">
        <v>74</v>
      </c>
      <c r="AD819" t="s">
        <v>74</v>
      </c>
      <c r="AE819" t="s">
        <v>74</v>
      </c>
      <c r="AF819" t="s">
        <v>74</v>
      </c>
      <c r="AG819">
        <v>45</v>
      </c>
      <c r="AH819">
        <v>8</v>
      </c>
      <c r="AI819">
        <v>8</v>
      </c>
      <c r="AJ819">
        <v>0</v>
      </c>
      <c r="AK819">
        <v>12</v>
      </c>
      <c r="AL819" t="s">
        <v>136</v>
      </c>
      <c r="AM819" t="s">
        <v>87</v>
      </c>
      <c r="AN819" t="s">
        <v>137</v>
      </c>
      <c r="AO819" t="s">
        <v>3206</v>
      </c>
      <c r="AP819" t="s">
        <v>3207</v>
      </c>
      <c r="AQ819" t="s">
        <v>74</v>
      </c>
      <c r="AR819" t="s">
        <v>3208</v>
      </c>
      <c r="AS819" t="s">
        <v>3209</v>
      </c>
      <c r="AT819" t="s">
        <v>10978</v>
      </c>
      <c r="AU819">
        <v>2003</v>
      </c>
      <c r="AV819">
        <v>83</v>
      </c>
      <c r="AW819">
        <v>6</v>
      </c>
      <c r="AX819" t="s">
        <v>74</v>
      </c>
      <c r="AY819" t="s">
        <v>74</v>
      </c>
      <c r="AZ819" t="s">
        <v>74</v>
      </c>
      <c r="BA819" t="s">
        <v>74</v>
      </c>
      <c r="BB819">
        <v>1199</v>
      </c>
      <c r="BC819">
        <v>1208</v>
      </c>
      <c r="BD819" t="s">
        <v>74</v>
      </c>
      <c r="BE819" t="s">
        <v>11771</v>
      </c>
      <c r="BF819" t="str">
        <f>HYPERLINK("http://dx.doi.org/10.1017/S002531540300849X","http://dx.doi.org/10.1017/S002531540300849X")</f>
        <v>http://dx.doi.org/10.1017/S002531540300849X</v>
      </c>
      <c r="BG819" t="s">
        <v>74</v>
      </c>
      <c r="BH819" t="s">
        <v>74</v>
      </c>
      <c r="BI819">
        <v>10</v>
      </c>
      <c r="BJ819" t="s">
        <v>1770</v>
      </c>
      <c r="BK819" t="s">
        <v>96</v>
      </c>
      <c r="BL819" t="s">
        <v>1770</v>
      </c>
      <c r="BM819" t="s">
        <v>11772</v>
      </c>
      <c r="BN819" t="s">
        <v>74</v>
      </c>
      <c r="BO819" t="s">
        <v>74</v>
      </c>
      <c r="BP819" t="s">
        <v>74</v>
      </c>
      <c r="BQ819" t="s">
        <v>74</v>
      </c>
      <c r="BR819" t="s">
        <v>99</v>
      </c>
      <c r="BS819" t="s">
        <v>11773</v>
      </c>
      <c r="BT819" t="str">
        <f>HYPERLINK("https%3A%2F%2Fwww.webofscience.com%2Fwos%2Fwoscc%2Ffull-record%2FWOS:000188941800002","View Full Record in Web of Science")</f>
        <v>View Full Record in Web of Science</v>
      </c>
    </row>
    <row r="820" spans="1:72" x14ac:dyDescent="0.15">
      <c r="A820" t="s">
        <v>72</v>
      </c>
      <c r="B820" t="s">
        <v>11774</v>
      </c>
      <c r="C820" t="s">
        <v>74</v>
      </c>
      <c r="D820" t="s">
        <v>74</v>
      </c>
      <c r="E820" t="s">
        <v>74</v>
      </c>
      <c r="F820" t="s">
        <v>11774</v>
      </c>
      <c r="G820" t="s">
        <v>74</v>
      </c>
      <c r="H820" t="s">
        <v>74</v>
      </c>
      <c r="I820" t="s">
        <v>11775</v>
      </c>
      <c r="J820" t="s">
        <v>11776</v>
      </c>
      <c r="K820" t="s">
        <v>74</v>
      </c>
      <c r="L820" t="s">
        <v>74</v>
      </c>
      <c r="M820" t="s">
        <v>77</v>
      </c>
      <c r="N820" t="s">
        <v>311</v>
      </c>
      <c r="O820" t="s">
        <v>11777</v>
      </c>
      <c r="P820" t="s">
        <v>11778</v>
      </c>
      <c r="Q820" t="s">
        <v>11779</v>
      </c>
      <c r="R820" t="s">
        <v>74</v>
      </c>
      <c r="S820" t="s">
        <v>11780</v>
      </c>
      <c r="T820" t="s">
        <v>11781</v>
      </c>
      <c r="U820" t="s">
        <v>11782</v>
      </c>
      <c r="V820" t="s">
        <v>11783</v>
      </c>
      <c r="W820" t="s">
        <v>11784</v>
      </c>
      <c r="X820" t="s">
        <v>11785</v>
      </c>
      <c r="Y820" t="s">
        <v>11786</v>
      </c>
      <c r="Z820" t="s">
        <v>11787</v>
      </c>
      <c r="AA820" t="s">
        <v>11788</v>
      </c>
      <c r="AB820" t="s">
        <v>11789</v>
      </c>
      <c r="AC820" t="s">
        <v>74</v>
      </c>
      <c r="AD820" t="s">
        <v>74</v>
      </c>
      <c r="AE820" t="s">
        <v>74</v>
      </c>
      <c r="AF820" t="s">
        <v>74</v>
      </c>
      <c r="AG820">
        <v>59</v>
      </c>
      <c r="AH820">
        <v>4</v>
      </c>
      <c r="AI820">
        <v>4</v>
      </c>
      <c r="AJ820">
        <v>0</v>
      </c>
      <c r="AK820">
        <v>6</v>
      </c>
      <c r="AL820" t="s">
        <v>198</v>
      </c>
      <c r="AM820" t="s">
        <v>178</v>
      </c>
      <c r="AN820" t="s">
        <v>179</v>
      </c>
      <c r="AO820" t="s">
        <v>11790</v>
      </c>
      <c r="AP820" t="s">
        <v>11791</v>
      </c>
      <c r="AQ820" t="s">
        <v>74</v>
      </c>
      <c r="AR820" t="s">
        <v>11776</v>
      </c>
      <c r="AS820" t="s">
        <v>11792</v>
      </c>
      <c r="AT820" t="s">
        <v>10978</v>
      </c>
      <c r="AU820">
        <v>2003</v>
      </c>
      <c r="AV820">
        <v>36</v>
      </c>
      <c r="AW820">
        <v>4</v>
      </c>
      <c r="AX820" t="s">
        <v>74</v>
      </c>
      <c r="AY820" t="s">
        <v>74</v>
      </c>
      <c r="AZ820" t="s">
        <v>74</v>
      </c>
      <c r="BA820" t="s">
        <v>74</v>
      </c>
      <c r="BB820">
        <v>345</v>
      </c>
      <c r="BC820">
        <v>356</v>
      </c>
      <c r="BD820" t="s">
        <v>74</v>
      </c>
      <c r="BE820" t="s">
        <v>11793</v>
      </c>
      <c r="BF820" t="str">
        <f>HYPERLINK("http://dx.doi.org/10.1080/00241160310006394","http://dx.doi.org/10.1080/00241160310006394")</f>
        <v>http://dx.doi.org/10.1080/00241160310006394</v>
      </c>
      <c r="BG820" t="s">
        <v>74</v>
      </c>
      <c r="BH820" t="s">
        <v>74</v>
      </c>
      <c r="BI820">
        <v>12</v>
      </c>
      <c r="BJ820" t="s">
        <v>1750</v>
      </c>
      <c r="BK820" t="s">
        <v>332</v>
      </c>
      <c r="BL820" t="s">
        <v>1750</v>
      </c>
      <c r="BM820" t="s">
        <v>11794</v>
      </c>
      <c r="BN820" t="s">
        <v>74</v>
      </c>
      <c r="BO820" t="s">
        <v>74</v>
      </c>
      <c r="BP820" t="s">
        <v>74</v>
      </c>
      <c r="BQ820" t="s">
        <v>74</v>
      </c>
      <c r="BR820" t="s">
        <v>99</v>
      </c>
      <c r="BS820" t="s">
        <v>11795</v>
      </c>
      <c r="BT820" t="str">
        <f>HYPERLINK("https%3A%2F%2Fwww.webofscience.com%2Fwos%2Fwoscc%2Ffull-record%2FWOS:000187559900007","View Full Record in Web of Science")</f>
        <v>View Full Record in Web of Science</v>
      </c>
    </row>
    <row r="821" spans="1:72" x14ac:dyDescent="0.15">
      <c r="A821" t="s">
        <v>72</v>
      </c>
      <c r="B821" t="s">
        <v>11796</v>
      </c>
      <c r="C821" t="s">
        <v>74</v>
      </c>
      <c r="D821" t="s">
        <v>74</v>
      </c>
      <c r="E821" t="s">
        <v>74</v>
      </c>
      <c r="F821" t="s">
        <v>11796</v>
      </c>
      <c r="G821" t="s">
        <v>74</v>
      </c>
      <c r="H821" t="s">
        <v>74</v>
      </c>
      <c r="I821" t="s">
        <v>11797</v>
      </c>
      <c r="J821" t="s">
        <v>11798</v>
      </c>
      <c r="K821" t="s">
        <v>74</v>
      </c>
      <c r="L821" t="s">
        <v>74</v>
      </c>
      <c r="M821" t="s">
        <v>77</v>
      </c>
      <c r="N821" t="s">
        <v>822</v>
      </c>
      <c r="O821" t="s">
        <v>74</v>
      </c>
      <c r="P821" t="s">
        <v>74</v>
      </c>
      <c r="Q821" t="s">
        <v>74</v>
      </c>
      <c r="R821" t="s">
        <v>74</v>
      </c>
      <c r="S821" t="s">
        <v>74</v>
      </c>
      <c r="T821" t="s">
        <v>74</v>
      </c>
      <c r="U821" t="s">
        <v>74</v>
      </c>
      <c r="V821" t="s">
        <v>74</v>
      </c>
      <c r="W821" t="s">
        <v>11799</v>
      </c>
      <c r="X821" t="s">
        <v>11800</v>
      </c>
      <c r="Y821" t="s">
        <v>11801</v>
      </c>
      <c r="Z821" t="s">
        <v>74</v>
      </c>
      <c r="AA821" t="s">
        <v>6143</v>
      </c>
      <c r="AB821" t="s">
        <v>74</v>
      </c>
      <c r="AC821" t="s">
        <v>74</v>
      </c>
      <c r="AD821" t="s">
        <v>74</v>
      </c>
      <c r="AE821" t="s">
        <v>74</v>
      </c>
      <c r="AF821" t="s">
        <v>74</v>
      </c>
      <c r="AG821">
        <v>0</v>
      </c>
      <c r="AH821">
        <v>1</v>
      </c>
      <c r="AI821">
        <v>1</v>
      </c>
      <c r="AJ821">
        <v>0</v>
      </c>
      <c r="AK821">
        <v>0</v>
      </c>
      <c r="AL821" t="s">
        <v>2642</v>
      </c>
      <c r="AM821" t="s">
        <v>2643</v>
      </c>
      <c r="AN821" t="s">
        <v>5906</v>
      </c>
      <c r="AO821" t="s">
        <v>11802</v>
      </c>
      <c r="AP821" t="s">
        <v>74</v>
      </c>
      <c r="AQ821" t="s">
        <v>74</v>
      </c>
      <c r="AR821" t="s">
        <v>11803</v>
      </c>
      <c r="AS821" t="s">
        <v>11804</v>
      </c>
      <c r="AT821" t="s">
        <v>10978</v>
      </c>
      <c r="AU821">
        <v>2003</v>
      </c>
      <c r="AV821">
        <v>36</v>
      </c>
      <c r="AW821">
        <v>4</v>
      </c>
      <c r="AX821" t="s">
        <v>74</v>
      </c>
      <c r="AY821" t="s">
        <v>74</v>
      </c>
      <c r="AZ821" t="s">
        <v>74</v>
      </c>
      <c r="BA821" t="s">
        <v>74</v>
      </c>
      <c r="BB821">
        <v>187</v>
      </c>
      <c r="BC821">
        <v>188</v>
      </c>
      <c r="BD821" t="s">
        <v>74</v>
      </c>
      <c r="BE821" t="s">
        <v>11805</v>
      </c>
      <c r="BF821" t="str">
        <f>HYPERLINK("http://dx.doi.org/10.1080/10236240310001614853","http://dx.doi.org/10.1080/10236240310001614853")</f>
        <v>http://dx.doi.org/10.1080/10236240310001614853</v>
      </c>
      <c r="BG821" t="s">
        <v>74</v>
      </c>
      <c r="BH821" t="s">
        <v>74</v>
      </c>
      <c r="BI821">
        <v>2</v>
      </c>
      <c r="BJ821" t="s">
        <v>1770</v>
      </c>
      <c r="BK821" t="s">
        <v>96</v>
      </c>
      <c r="BL821" t="s">
        <v>1770</v>
      </c>
      <c r="BM821" t="s">
        <v>11806</v>
      </c>
      <c r="BN821" t="s">
        <v>74</v>
      </c>
      <c r="BO821" t="s">
        <v>74</v>
      </c>
      <c r="BP821" t="s">
        <v>74</v>
      </c>
      <c r="BQ821" t="s">
        <v>74</v>
      </c>
      <c r="BR821" t="s">
        <v>99</v>
      </c>
      <c r="BS821" t="s">
        <v>11807</v>
      </c>
      <c r="BT821" t="str">
        <f>HYPERLINK("https%3A%2F%2Fwww.webofscience.com%2Fwos%2Fwoscc%2Ffull-record%2FWOS:000187994400001","View Full Record in Web of Science")</f>
        <v>View Full Record in Web of Science</v>
      </c>
    </row>
    <row r="822" spans="1:72" x14ac:dyDescent="0.15">
      <c r="A822" t="s">
        <v>72</v>
      </c>
      <c r="B822" t="s">
        <v>11796</v>
      </c>
      <c r="C822" t="s">
        <v>74</v>
      </c>
      <c r="D822" t="s">
        <v>74</v>
      </c>
      <c r="E822" t="s">
        <v>74</v>
      </c>
      <c r="F822" t="s">
        <v>11796</v>
      </c>
      <c r="G822" t="s">
        <v>74</v>
      </c>
      <c r="H822" t="s">
        <v>74</v>
      </c>
      <c r="I822" t="s">
        <v>11808</v>
      </c>
      <c r="J822" t="s">
        <v>11798</v>
      </c>
      <c r="K822" t="s">
        <v>74</v>
      </c>
      <c r="L822" t="s">
        <v>74</v>
      </c>
      <c r="M822" t="s">
        <v>77</v>
      </c>
      <c r="N822" t="s">
        <v>822</v>
      </c>
      <c r="O822" t="s">
        <v>74</v>
      </c>
      <c r="P822" t="s">
        <v>74</v>
      </c>
      <c r="Q822" t="s">
        <v>74</v>
      </c>
      <c r="R822" t="s">
        <v>74</v>
      </c>
      <c r="S822" t="s">
        <v>74</v>
      </c>
      <c r="T822" t="s">
        <v>74</v>
      </c>
      <c r="U822" t="s">
        <v>74</v>
      </c>
      <c r="V822" t="s">
        <v>74</v>
      </c>
      <c r="W822" t="s">
        <v>11809</v>
      </c>
      <c r="X822" t="s">
        <v>1808</v>
      </c>
      <c r="Y822" t="s">
        <v>11810</v>
      </c>
      <c r="Z822" t="s">
        <v>74</v>
      </c>
      <c r="AA822" t="s">
        <v>74</v>
      </c>
      <c r="AB822" t="s">
        <v>74</v>
      </c>
      <c r="AC822" t="s">
        <v>74</v>
      </c>
      <c r="AD822" t="s">
        <v>74</v>
      </c>
      <c r="AE822" t="s">
        <v>74</v>
      </c>
      <c r="AF822" t="s">
        <v>74</v>
      </c>
      <c r="AG822">
        <v>2</v>
      </c>
      <c r="AH822">
        <v>2</v>
      </c>
      <c r="AI822">
        <v>2</v>
      </c>
      <c r="AJ822">
        <v>0</v>
      </c>
      <c r="AK822">
        <v>0</v>
      </c>
      <c r="AL822" t="s">
        <v>2642</v>
      </c>
      <c r="AM822" t="s">
        <v>2643</v>
      </c>
      <c r="AN822" t="s">
        <v>2644</v>
      </c>
      <c r="AO822" t="s">
        <v>11811</v>
      </c>
      <c r="AP822" t="s">
        <v>11812</v>
      </c>
      <c r="AQ822" t="s">
        <v>74</v>
      </c>
      <c r="AR822" t="s">
        <v>11803</v>
      </c>
      <c r="AS822" t="s">
        <v>11804</v>
      </c>
      <c r="AT822" t="s">
        <v>10978</v>
      </c>
      <c r="AU822">
        <v>2003</v>
      </c>
      <c r="AV822">
        <v>36</v>
      </c>
      <c r="AW822">
        <v>4</v>
      </c>
      <c r="AX822" t="s">
        <v>74</v>
      </c>
      <c r="AY822" t="s">
        <v>74</v>
      </c>
      <c r="AZ822" t="s">
        <v>74</v>
      </c>
      <c r="BA822" t="s">
        <v>74</v>
      </c>
      <c r="BB822">
        <v>189</v>
      </c>
      <c r="BC822">
        <v>190</v>
      </c>
      <c r="BD822" t="s">
        <v>74</v>
      </c>
      <c r="BE822" t="s">
        <v>11813</v>
      </c>
      <c r="BF822" t="str">
        <f>HYPERLINK("http://dx.doi.org/10.1080/1023624031001619975","http://dx.doi.org/10.1080/1023624031001619975")</f>
        <v>http://dx.doi.org/10.1080/1023624031001619975</v>
      </c>
      <c r="BG822" t="s">
        <v>74</v>
      </c>
      <c r="BH822" t="s">
        <v>74</v>
      </c>
      <c r="BI822">
        <v>2</v>
      </c>
      <c r="BJ822" t="s">
        <v>1770</v>
      </c>
      <c r="BK822" t="s">
        <v>96</v>
      </c>
      <c r="BL822" t="s">
        <v>1770</v>
      </c>
      <c r="BM822" t="s">
        <v>11806</v>
      </c>
      <c r="BN822" t="s">
        <v>74</v>
      </c>
      <c r="BO822" t="s">
        <v>74</v>
      </c>
      <c r="BP822" t="s">
        <v>74</v>
      </c>
      <c r="BQ822" t="s">
        <v>74</v>
      </c>
      <c r="BR822" t="s">
        <v>99</v>
      </c>
      <c r="BS822" t="s">
        <v>11814</v>
      </c>
      <c r="BT822" t="str">
        <f>HYPERLINK("https%3A%2F%2Fwww.webofscience.com%2Fwos%2Fwoscc%2Ffull-record%2FWOS:000187994400002","View Full Record in Web of Science")</f>
        <v>View Full Record in Web of Science</v>
      </c>
    </row>
    <row r="823" spans="1:72" x14ac:dyDescent="0.15">
      <c r="A823" t="s">
        <v>72</v>
      </c>
      <c r="B823" t="s">
        <v>11815</v>
      </c>
      <c r="C823" t="s">
        <v>74</v>
      </c>
      <c r="D823" t="s">
        <v>74</v>
      </c>
      <c r="E823" t="s">
        <v>74</v>
      </c>
      <c r="F823" t="s">
        <v>11815</v>
      </c>
      <c r="G823" t="s">
        <v>74</v>
      </c>
      <c r="H823" t="s">
        <v>74</v>
      </c>
      <c r="I823" t="s">
        <v>11816</v>
      </c>
      <c r="J823" t="s">
        <v>11798</v>
      </c>
      <c r="K823" t="s">
        <v>74</v>
      </c>
      <c r="L823" t="s">
        <v>74</v>
      </c>
      <c r="M823" t="s">
        <v>77</v>
      </c>
      <c r="N823" t="s">
        <v>311</v>
      </c>
      <c r="O823" t="s">
        <v>11817</v>
      </c>
      <c r="P823" t="s">
        <v>11818</v>
      </c>
      <c r="Q823" t="s">
        <v>11819</v>
      </c>
      <c r="R823" t="s">
        <v>74</v>
      </c>
      <c r="S823" t="s">
        <v>74</v>
      </c>
      <c r="T823" t="s">
        <v>11820</v>
      </c>
      <c r="U823" t="s">
        <v>11821</v>
      </c>
      <c r="V823" t="s">
        <v>11822</v>
      </c>
      <c r="W823" t="s">
        <v>11823</v>
      </c>
      <c r="X823" t="s">
        <v>1808</v>
      </c>
      <c r="Y823" t="s">
        <v>11824</v>
      </c>
      <c r="Z823" t="s">
        <v>11825</v>
      </c>
      <c r="AA823" t="s">
        <v>74</v>
      </c>
      <c r="AB823" t="s">
        <v>74</v>
      </c>
      <c r="AC823" t="s">
        <v>74</v>
      </c>
      <c r="AD823" t="s">
        <v>74</v>
      </c>
      <c r="AE823" t="s">
        <v>74</v>
      </c>
      <c r="AF823" t="s">
        <v>74</v>
      </c>
      <c r="AG823">
        <v>85</v>
      </c>
      <c r="AH823">
        <v>24</v>
      </c>
      <c r="AI823">
        <v>26</v>
      </c>
      <c r="AJ823">
        <v>0</v>
      </c>
      <c r="AK823">
        <v>22</v>
      </c>
      <c r="AL823" t="s">
        <v>2642</v>
      </c>
      <c r="AM823" t="s">
        <v>2643</v>
      </c>
      <c r="AN823" t="s">
        <v>2644</v>
      </c>
      <c r="AO823" t="s">
        <v>11811</v>
      </c>
      <c r="AP823" t="s">
        <v>11812</v>
      </c>
      <c r="AQ823" t="s">
        <v>74</v>
      </c>
      <c r="AR823" t="s">
        <v>11803</v>
      </c>
      <c r="AS823" t="s">
        <v>11804</v>
      </c>
      <c r="AT823" t="s">
        <v>10978</v>
      </c>
      <c r="AU823">
        <v>2003</v>
      </c>
      <c r="AV823">
        <v>36</v>
      </c>
      <c r="AW823">
        <v>4</v>
      </c>
      <c r="AX823" t="s">
        <v>74</v>
      </c>
      <c r="AY823" t="s">
        <v>74</v>
      </c>
      <c r="AZ823" t="s">
        <v>74</v>
      </c>
      <c r="BA823" t="s">
        <v>74</v>
      </c>
      <c r="BB823">
        <v>191</v>
      </c>
      <c r="BC823">
        <v>205</v>
      </c>
      <c r="BD823" t="s">
        <v>74</v>
      </c>
      <c r="BE823" t="s">
        <v>11826</v>
      </c>
      <c r="BF823" t="str">
        <f>HYPERLINK("http://dx.doi.org/10.1080/10236240310001614420","http://dx.doi.org/10.1080/10236240310001614420")</f>
        <v>http://dx.doi.org/10.1080/10236240310001614420</v>
      </c>
      <c r="BG823" t="s">
        <v>74</v>
      </c>
      <c r="BH823" t="s">
        <v>74</v>
      </c>
      <c r="BI823">
        <v>15</v>
      </c>
      <c r="BJ823" t="s">
        <v>1770</v>
      </c>
      <c r="BK823" t="s">
        <v>332</v>
      </c>
      <c r="BL823" t="s">
        <v>1770</v>
      </c>
      <c r="BM823" t="s">
        <v>11806</v>
      </c>
      <c r="BN823" t="s">
        <v>74</v>
      </c>
      <c r="BO823" t="s">
        <v>74</v>
      </c>
      <c r="BP823" t="s">
        <v>74</v>
      </c>
      <c r="BQ823" t="s">
        <v>74</v>
      </c>
      <c r="BR823" t="s">
        <v>99</v>
      </c>
      <c r="BS823" t="s">
        <v>11827</v>
      </c>
      <c r="BT823" t="str">
        <f>HYPERLINK("https%3A%2F%2Fwww.webofscience.com%2Fwos%2Fwoscc%2Ffull-record%2FWOS:000187994400003","View Full Record in Web of Science")</f>
        <v>View Full Record in Web of Science</v>
      </c>
    </row>
    <row r="824" spans="1:72" x14ac:dyDescent="0.15">
      <c r="A824" t="s">
        <v>72</v>
      </c>
      <c r="B824" t="s">
        <v>11828</v>
      </c>
      <c r="C824" t="s">
        <v>74</v>
      </c>
      <c r="D824" t="s">
        <v>74</v>
      </c>
      <c r="E824" t="s">
        <v>74</v>
      </c>
      <c r="F824" t="s">
        <v>11828</v>
      </c>
      <c r="G824" t="s">
        <v>74</v>
      </c>
      <c r="H824" t="s">
        <v>74</v>
      </c>
      <c r="I824" t="s">
        <v>11829</v>
      </c>
      <c r="J824" t="s">
        <v>11798</v>
      </c>
      <c r="K824" t="s">
        <v>74</v>
      </c>
      <c r="L824" t="s">
        <v>74</v>
      </c>
      <c r="M824" t="s">
        <v>77</v>
      </c>
      <c r="N824" t="s">
        <v>311</v>
      </c>
      <c r="O824" t="s">
        <v>11817</v>
      </c>
      <c r="P824" t="s">
        <v>11818</v>
      </c>
      <c r="Q824" t="s">
        <v>11819</v>
      </c>
      <c r="R824" t="s">
        <v>74</v>
      </c>
      <c r="S824" t="s">
        <v>74</v>
      </c>
      <c r="T824" t="s">
        <v>11830</v>
      </c>
      <c r="U824" t="s">
        <v>11831</v>
      </c>
      <c r="V824" t="s">
        <v>11832</v>
      </c>
      <c r="W824" t="s">
        <v>11833</v>
      </c>
      <c r="X824" t="s">
        <v>11545</v>
      </c>
      <c r="Y824" t="s">
        <v>11834</v>
      </c>
      <c r="Z824" t="s">
        <v>11835</v>
      </c>
      <c r="AA824" t="s">
        <v>74</v>
      </c>
      <c r="AB824" t="s">
        <v>74</v>
      </c>
      <c r="AC824" t="s">
        <v>74</v>
      </c>
      <c r="AD824" t="s">
        <v>74</v>
      </c>
      <c r="AE824" t="s">
        <v>74</v>
      </c>
      <c r="AF824" t="s">
        <v>74</v>
      </c>
      <c r="AG824">
        <v>66</v>
      </c>
      <c r="AH824">
        <v>5</v>
      </c>
      <c r="AI824">
        <v>5</v>
      </c>
      <c r="AJ824">
        <v>0</v>
      </c>
      <c r="AK824">
        <v>4</v>
      </c>
      <c r="AL824" t="s">
        <v>2642</v>
      </c>
      <c r="AM824" t="s">
        <v>2643</v>
      </c>
      <c r="AN824" t="s">
        <v>2644</v>
      </c>
      <c r="AO824" t="s">
        <v>11811</v>
      </c>
      <c r="AP824" t="s">
        <v>11812</v>
      </c>
      <c r="AQ824" t="s">
        <v>74</v>
      </c>
      <c r="AR824" t="s">
        <v>11803</v>
      </c>
      <c r="AS824" t="s">
        <v>11804</v>
      </c>
      <c r="AT824" t="s">
        <v>10978</v>
      </c>
      <c r="AU824">
        <v>2003</v>
      </c>
      <c r="AV824">
        <v>36</v>
      </c>
      <c r="AW824">
        <v>4</v>
      </c>
      <c r="AX824" t="s">
        <v>74</v>
      </c>
      <c r="AY824" t="s">
        <v>74</v>
      </c>
      <c r="AZ824" t="s">
        <v>74</v>
      </c>
      <c r="BA824" t="s">
        <v>74</v>
      </c>
      <c r="BB824">
        <v>207</v>
      </c>
      <c r="BC824">
        <v>228</v>
      </c>
      <c r="BD824" t="s">
        <v>74</v>
      </c>
      <c r="BE824" t="s">
        <v>11836</v>
      </c>
      <c r="BF824" t="str">
        <f>HYPERLINK("http://dx.doi.org/10.1080/10236240310001623385","http://dx.doi.org/10.1080/10236240310001623385")</f>
        <v>http://dx.doi.org/10.1080/10236240310001623385</v>
      </c>
      <c r="BG824" t="s">
        <v>74</v>
      </c>
      <c r="BH824" t="s">
        <v>74</v>
      </c>
      <c r="BI824">
        <v>22</v>
      </c>
      <c r="BJ824" t="s">
        <v>1770</v>
      </c>
      <c r="BK824" t="s">
        <v>332</v>
      </c>
      <c r="BL824" t="s">
        <v>1770</v>
      </c>
      <c r="BM824" t="s">
        <v>11806</v>
      </c>
      <c r="BN824" t="s">
        <v>74</v>
      </c>
      <c r="BO824" t="s">
        <v>74</v>
      </c>
      <c r="BP824" t="s">
        <v>74</v>
      </c>
      <c r="BQ824" t="s">
        <v>74</v>
      </c>
      <c r="BR824" t="s">
        <v>99</v>
      </c>
      <c r="BS824" t="s">
        <v>11837</v>
      </c>
      <c r="BT824" t="str">
        <f>HYPERLINK("https%3A%2F%2Fwww.webofscience.com%2Fwos%2Fwoscc%2Ffull-record%2FWOS:000187994400004","View Full Record in Web of Science")</f>
        <v>View Full Record in Web of Science</v>
      </c>
    </row>
    <row r="825" spans="1:72" x14ac:dyDescent="0.15">
      <c r="A825" t="s">
        <v>72</v>
      </c>
      <c r="B825" t="s">
        <v>11838</v>
      </c>
      <c r="C825" t="s">
        <v>74</v>
      </c>
      <c r="D825" t="s">
        <v>74</v>
      </c>
      <c r="E825" t="s">
        <v>74</v>
      </c>
      <c r="F825" t="s">
        <v>11838</v>
      </c>
      <c r="G825" t="s">
        <v>74</v>
      </c>
      <c r="H825" t="s">
        <v>74</v>
      </c>
      <c r="I825" t="s">
        <v>11839</v>
      </c>
      <c r="J825" t="s">
        <v>11798</v>
      </c>
      <c r="K825" t="s">
        <v>74</v>
      </c>
      <c r="L825" t="s">
        <v>74</v>
      </c>
      <c r="M825" t="s">
        <v>77</v>
      </c>
      <c r="N825" t="s">
        <v>311</v>
      </c>
      <c r="O825" t="s">
        <v>11817</v>
      </c>
      <c r="P825" t="s">
        <v>11818</v>
      </c>
      <c r="Q825" t="s">
        <v>11819</v>
      </c>
      <c r="R825" t="s">
        <v>74</v>
      </c>
      <c r="S825" t="s">
        <v>74</v>
      </c>
      <c r="T825" t="s">
        <v>11840</v>
      </c>
      <c r="U825" t="s">
        <v>11841</v>
      </c>
      <c r="V825" t="s">
        <v>11842</v>
      </c>
      <c r="W825" t="s">
        <v>11843</v>
      </c>
      <c r="X825" t="s">
        <v>1966</v>
      </c>
      <c r="Y825" t="s">
        <v>11844</v>
      </c>
      <c r="Z825" t="s">
        <v>11845</v>
      </c>
      <c r="AA825" t="s">
        <v>74</v>
      </c>
      <c r="AB825" t="s">
        <v>74</v>
      </c>
      <c r="AC825" t="s">
        <v>74</v>
      </c>
      <c r="AD825" t="s">
        <v>74</v>
      </c>
      <c r="AE825" t="s">
        <v>74</v>
      </c>
      <c r="AF825" t="s">
        <v>74</v>
      </c>
      <c r="AG825">
        <v>67</v>
      </c>
      <c r="AH825">
        <v>17</v>
      </c>
      <c r="AI825">
        <v>20</v>
      </c>
      <c r="AJ825">
        <v>1</v>
      </c>
      <c r="AK825">
        <v>14</v>
      </c>
      <c r="AL825" t="s">
        <v>2642</v>
      </c>
      <c r="AM825" t="s">
        <v>2643</v>
      </c>
      <c r="AN825" t="s">
        <v>2644</v>
      </c>
      <c r="AO825" t="s">
        <v>11811</v>
      </c>
      <c r="AP825" t="s">
        <v>11812</v>
      </c>
      <c r="AQ825" t="s">
        <v>74</v>
      </c>
      <c r="AR825" t="s">
        <v>11803</v>
      </c>
      <c r="AS825" t="s">
        <v>11804</v>
      </c>
      <c r="AT825" t="s">
        <v>10978</v>
      </c>
      <c r="AU825">
        <v>2003</v>
      </c>
      <c r="AV825">
        <v>36</v>
      </c>
      <c r="AW825">
        <v>4</v>
      </c>
      <c r="AX825" t="s">
        <v>74</v>
      </c>
      <c r="AY825" t="s">
        <v>74</v>
      </c>
      <c r="AZ825" t="s">
        <v>74</v>
      </c>
      <c r="BA825" t="s">
        <v>74</v>
      </c>
      <c r="BB825">
        <v>229</v>
      </c>
      <c r="BC825">
        <v>247</v>
      </c>
      <c r="BD825" t="s">
        <v>74</v>
      </c>
      <c r="BE825" t="s">
        <v>11846</v>
      </c>
      <c r="BF825" t="str">
        <f>HYPERLINK("http://dx.doi.org/10.1080/10236240310001623376","http://dx.doi.org/10.1080/10236240310001623376")</f>
        <v>http://dx.doi.org/10.1080/10236240310001623376</v>
      </c>
      <c r="BG825" t="s">
        <v>74</v>
      </c>
      <c r="BH825" t="s">
        <v>74</v>
      </c>
      <c r="BI825">
        <v>19</v>
      </c>
      <c r="BJ825" t="s">
        <v>1770</v>
      </c>
      <c r="BK825" t="s">
        <v>332</v>
      </c>
      <c r="BL825" t="s">
        <v>1770</v>
      </c>
      <c r="BM825" t="s">
        <v>11806</v>
      </c>
      <c r="BN825" t="s">
        <v>74</v>
      </c>
      <c r="BO825" t="s">
        <v>74</v>
      </c>
      <c r="BP825" t="s">
        <v>74</v>
      </c>
      <c r="BQ825" t="s">
        <v>74</v>
      </c>
      <c r="BR825" t="s">
        <v>99</v>
      </c>
      <c r="BS825" t="s">
        <v>11847</v>
      </c>
      <c r="BT825" t="str">
        <f>HYPERLINK("https%3A%2F%2Fwww.webofscience.com%2Fwos%2Fwoscc%2Ffull-record%2FWOS:000187994400005","View Full Record in Web of Science")</f>
        <v>View Full Record in Web of Science</v>
      </c>
    </row>
    <row r="826" spans="1:72" x14ac:dyDescent="0.15">
      <c r="A826" t="s">
        <v>72</v>
      </c>
      <c r="B826" t="s">
        <v>11848</v>
      </c>
      <c r="C826" t="s">
        <v>74</v>
      </c>
      <c r="D826" t="s">
        <v>74</v>
      </c>
      <c r="E826" t="s">
        <v>74</v>
      </c>
      <c r="F826" t="s">
        <v>11848</v>
      </c>
      <c r="G826" t="s">
        <v>74</v>
      </c>
      <c r="H826" t="s">
        <v>74</v>
      </c>
      <c r="I826" t="s">
        <v>11849</v>
      </c>
      <c r="J826" t="s">
        <v>11798</v>
      </c>
      <c r="K826" t="s">
        <v>74</v>
      </c>
      <c r="L826" t="s">
        <v>74</v>
      </c>
      <c r="M826" t="s">
        <v>77</v>
      </c>
      <c r="N826" t="s">
        <v>311</v>
      </c>
      <c r="O826" t="s">
        <v>11817</v>
      </c>
      <c r="P826" t="s">
        <v>11818</v>
      </c>
      <c r="Q826" t="s">
        <v>11819</v>
      </c>
      <c r="R826" t="s">
        <v>74</v>
      </c>
      <c r="S826" t="s">
        <v>74</v>
      </c>
      <c r="T826" t="s">
        <v>11850</v>
      </c>
      <c r="U826" t="s">
        <v>11851</v>
      </c>
      <c r="V826" t="s">
        <v>11852</v>
      </c>
      <c r="W826" t="s">
        <v>11853</v>
      </c>
      <c r="X826" t="s">
        <v>74</v>
      </c>
      <c r="Y826" t="s">
        <v>11854</v>
      </c>
      <c r="Z826" t="s">
        <v>11855</v>
      </c>
      <c r="AA826" t="s">
        <v>74</v>
      </c>
      <c r="AB826" t="s">
        <v>74</v>
      </c>
      <c r="AC826" t="s">
        <v>74</v>
      </c>
      <c r="AD826" t="s">
        <v>74</v>
      </c>
      <c r="AE826" t="s">
        <v>74</v>
      </c>
      <c r="AF826" t="s">
        <v>74</v>
      </c>
      <c r="AG826">
        <v>13</v>
      </c>
      <c r="AH826">
        <v>6</v>
      </c>
      <c r="AI826">
        <v>6</v>
      </c>
      <c r="AJ826">
        <v>0</v>
      </c>
      <c r="AK826">
        <v>2</v>
      </c>
      <c r="AL826" t="s">
        <v>2642</v>
      </c>
      <c r="AM826" t="s">
        <v>2643</v>
      </c>
      <c r="AN826" t="s">
        <v>2644</v>
      </c>
      <c r="AO826" t="s">
        <v>11811</v>
      </c>
      <c r="AP826" t="s">
        <v>11812</v>
      </c>
      <c r="AQ826" t="s">
        <v>74</v>
      </c>
      <c r="AR826" t="s">
        <v>11803</v>
      </c>
      <c r="AS826" t="s">
        <v>11804</v>
      </c>
      <c r="AT826" t="s">
        <v>10978</v>
      </c>
      <c r="AU826">
        <v>2003</v>
      </c>
      <c r="AV826">
        <v>36</v>
      </c>
      <c r="AW826">
        <v>4</v>
      </c>
      <c r="AX826" t="s">
        <v>74</v>
      </c>
      <c r="AY826" t="s">
        <v>74</v>
      </c>
      <c r="AZ826" t="s">
        <v>74</v>
      </c>
      <c r="BA826" t="s">
        <v>74</v>
      </c>
      <c r="BB826">
        <v>249</v>
      </c>
      <c r="BC826">
        <v>258</v>
      </c>
      <c r="BD826" t="s">
        <v>74</v>
      </c>
      <c r="BE826" t="s">
        <v>11856</v>
      </c>
      <c r="BF826" t="str">
        <f>HYPERLINK("http://dx.doi.org/10.1080/10236240310001623637","http://dx.doi.org/10.1080/10236240310001623637")</f>
        <v>http://dx.doi.org/10.1080/10236240310001623637</v>
      </c>
      <c r="BG826" t="s">
        <v>74</v>
      </c>
      <c r="BH826" t="s">
        <v>74</v>
      </c>
      <c r="BI826">
        <v>10</v>
      </c>
      <c r="BJ826" t="s">
        <v>1770</v>
      </c>
      <c r="BK826" t="s">
        <v>332</v>
      </c>
      <c r="BL826" t="s">
        <v>1770</v>
      </c>
      <c r="BM826" t="s">
        <v>11806</v>
      </c>
      <c r="BN826" t="s">
        <v>74</v>
      </c>
      <c r="BO826" t="s">
        <v>74</v>
      </c>
      <c r="BP826" t="s">
        <v>74</v>
      </c>
      <c r="BQ826" t="s">
        <v>74</v>
      </c>
      <c r="BR826" t="s">
        <v>99</v>
      </c>
      <c r="BS826" t="s">
        <v>11857</v>
      </c>
      <c r="BT826" t="str">
        <f>HYPERLINK("https%3A%2F%2Fwww.webofscience.com%2Fwos%2Fwoscc%2Ffull-record%2FWOS:000187994400006","View Full Record in Web of Science")</f>
        <v>View Full Record in Web of Science</v>
      </c>
    </row>
    <row r="827" spans="1:72" x14ac:dyDescent="0.15">
      <c r="A827" t="s">
        <v>72</v>
      </c>
      <c r="B827" t="s">
        <v>11858</v>
      </c>
      <c r="C827" t="s">
        <v>74</v>
      </c>
      <c r="D827" t="s">
        <v>74</v>
      </c>
      <c r="E827" t="s">
        <v>74</v>
      </c>
      <c r="F827" t="s">
        <v>11858</v>
      </c>
      <c r="G827" t="s">
        <v>74</v>
      </c>
      <c r="H827" t="s">
        <v>74</v>
      </c>
      <c r="I827" t="s">
        <v>11859</v>
      </c>
      <c r="J827" t="s">
        <v>11798</v>
      </c>
      <c r="K827" t="s">
        <v>74</v>
      </c>
      <c r="L827" t="s">
        <v>74</v>
      </c>
      <c r="M827" t="s">
        <v>77</v>
      </c>
      <c r="N827" t="s">
        <v>311</v>
      </c>
      <c r="O827" t="s">
        <v>11817</v>
      </c>
      <c r="P827" t="s">
        <v>11818</v>
      </c>
      <c r="Q827" t="s">
        <v>11819</v>
      </c>
      <c r="R827" t="s">
        <v>74</v>
      </c>
      <c r="S827" t="s">
        <v>74</v>
      </c>
      <c r="T827" t="s">
        <v>11860</v>
      </c>
      <c r="U827" t="s">
        <v>11861</v>
      </c>
      <c r="V827" t="s">
        <v>11862</v>
      </c>
      <c r="W827" t="s">
        <v>11863</v>
      </c>
      <c r="X827" t="s">
        <v>11864</v>
      </c>
      <c r="Y827" t="s">
        <v>6216</v>
      </c>
      <c r="Z827" t="s">
        <v>6217</v>
      </c>
      <c r="AA827" t="s">
        <v>6143</v>
      </c>
      <c r="AB827" t="s">
        <v>6144</v>
      </c>
      <c r="AC827" t="s">
        <v>74</v>
      </c>
      <c r="AD827" t="s">
        <v>74</v>
      </c>
      <c r="AE827" t="s">
        <v>74</v>
      </c>
      <c r="AF827" t="s">
        <v>74</v>
      </c>
      <c r="AG827">
        <v>30</v>
      </c>
      <c r="AH827">
        <v>21</v>
      </c>
      <c r="AI827">
        <v>22</v>
      </c>
      <c r="AJ827">
        <v>0</v>
      </c>
      <c r="AK827">
        <v>1</v>
      </c>
      <c r="AL827" t="s">
        <v>2642</v>
      </c>
      <c r="AM827" t="s">
        <v>2643</v>
      </c>
      <c r="AN827" t="s">
        <v>2644</v>
      </c>
      <c r="AO827" t="s">
        <v>11811</v>
      </c>
      <c r="AP827" t="s">
        <v>11812</v>
      </c>
      <c r="AQ827" t="s">
        <v>74</v>
      </c>
      <c r="AR827" t="s">
        <v>11803</v>
      </c>
      <c r="AS827" t="s">
        <v>11804</v>
      </c>
      <c r="AT827" t="s">
        <v>10978</v>
      </c>
      <c r="AU827">
        <v>2003</v>
      </c>
      <c r="AV827">
        <v>36</v>
      </c>
      <c r="AW827">
        <v>4</v>
      </c>
      <c r="AX827" t="s">
        <v>74</v>
      </c>
      <c r="AY827" t="s">
        <v>74</v>
      </c>
      <c r="AZ827" t="s">
        <v>74</v>
      </c>
      <c r="BA827" t="s">
        <v>74</v>
      </c>
      <c r="BB827">
        <v>259</v>
      </c>
      <c r="BC827">
        <v>269</v>
      </c>
      <c r="BD827" t="s">
        <v>74</v>
      </c>
      <c r="BE827" t="s">
        <v>11865</v>
      </c>
      <c r="BF827" t="str">
        <f>HYPERLINK("http://dx.doi.org/10.1080/10236240310001614448","http://dx.doi.org/10.1080/10236240310001614448")</f>
        <v>http://dx.doi.org/10.1080/10236240310001614448</v>
      </c>
      <c r="BG827" t="s">
        <v>74</v>
      </c>
      <c r="BH827" t="s">
        <v>74</v>
      </c>
      <c r="BI827">
        <v>11</v>
      </c>
      <c r="BJ827" t="s">
        <v>1770</v>
      </c>
      <c r="BK827" t="s">
        <v>332</v>
      </c>
      <c r="BL827" t="s">
        <v>1770</v>
      </c>
      <c r="BM827" t="s">
        <v>11806</v>
      </c>
      <c r="BN827" t="s">
        <v>74</v>
      </c>
      <c r="BO827" t="s">
        <v>74</v>
      </c>
      <c r="BP827" t="s">
        <v>74</v>
      </c>
      <c r="BQ827" t="s">
        <v>74</v>
      </c>
      <c r="BR827" t="s">
        <v>99</v>
      </c>
      <c r="BS827" t="s">
        <v>11866</v>
      </c>
      <c r="BT827" t="str">
        <f>HYPERLINK("https%3A%2F%2Fwww.webofscience.com%2Fwos%2Fwoscc%2Ffull-record%2FWOS:000187994400007","View Full Record in Web of Science")</f>
        <v>View Full Record in Web of Science</v>
      </c>
    </row>
    <row r="828" spans="1:72" x14ac:dyDescent="0.15">
      <c r="A828" t="s">
        <v>72</v>
      </c>
      <c r="B828" t="s">
        <v>11867</v>
      </c>
      <c r="C828" t="s">
        <v>74</v>
      </c>
      <c r="D828" t="s">
        <v>74</v>
      </c>
      <c r="E828" t="s">
        <v>74</v>
      </c>
      <c r="F828" t="s">
        <v>11867</v>
      </c>
      <c r="G828" t="s">
        <v>74</v>
      </c>
      <c r="H828" t="s">
        <v>74</v>
      </c>
      <c r="I828" t="s">
        <v>11868</v>
      </c>
      <c r="J828" t="s">
        <v>11798</v>
      </c>
      <c r="K828" t="s">
        <v>74</v>
      </c>
      <c r="L828" t="s">
        <v>74</v>
      </c>
      <c r="M828" t="s">
        <v>77</v>
      </c>
      <c r="N828" t="s">
        <v>311</v>
      </c>
      <c r="O828" t="s">
        <v>11817</v>
      </c>
      <c r="P828" t="s">
        <v>11818</v>
      </c>
      <c r="Q828" t="s">
        <v>11819</v>
      </c>
      <c r="R828" t="s">
        <v>74</v>
      </c>
      <c r="S828" t="s">
        <v>74</v>
      </c>
      <c r="T828" t="s">
        <v>11869</v>
      </c>
      <c r="U828" t="s">
        <v>11870</v>
      </c>
      <c r="V828" t="s">
        <v>11871</v>
      </c>
      <c r="W828" t="s">
        <v>11872</v>
      </c>
      <c r="X828" t="s">
        <v>4948</v>
      </c>
      <c r="Y828" t="s">
        <v>11873</v>
      </c>
      <c r="Z828" t="s">
        <v>11874</v>
      </c>
      <c r="AA828" t="s">
        <v>74</v>
      </c>
      <c r="AB828" t="s">
        <v>11875</v>
      </c>
      <c r="AC828" t="s">
        <v>74</v>
      </c>
      <c r="AD828" t="s">
        <v>74</v>
      </c>
      <c r="AE828" t="s">
        <v>74</v>
      </c>
      <c r="AF828" t="s">
        <v>74</v>
      </c>
      <c r="AG828">
        <v>31</v>
      </c>
      <c r="AH828">
        <v>23</v>
      </c>
      <c r="AI828">
        <v>23</v>
      </c>
      <c r="AJ828">
        <v>0</v>
      </c>
      <c r="AK828">
        <v>1</v>
      </c>
      <c r="AL828" t="s">
        <v>2642</v>
      </c>
      <c r="AM828" t="s">
        <v>2643</v>
      </c>
      <c r="AN828" t="s">
        <v>5906</v>
      </c>
      <c r="AO828" t="s">
        <v>11802</v>
      </c>
      <c r="AP828" t="s">
        <v>74</v>
      </c>
      <c r="AQ828" t="s">
        <v>74</v>
      </c>
      <c r="AR828" t="s">
        <v>11803</v>
      </c>
      <c r="AS828" t="s">
        <v>11804</v>
      </c>
      <c r="AT828" t="s">
        <v>10978</v>
      </c>
      <c r="AU828">
        <v>2003</v>
      </c>
      <c r="AV828">
        <v>36</v>
      </c>
      <c r="AW828">
        <v>4</v>
      </c>
      <c r="AX828" t="s">
        <v>74</v>
      </c>
      <c r="AY828" t="s">
        <v>74</v>
      </c>
      <c r="AZ828" t="s">
        <v>74</v>
      </c>
      <c r="BA828" t="s">
        <v>74</v>
      </c>
      <c r="BB828">
        <v>271</v>
      </c>
      <c r="BC828">
        <v>283</v>
      </c>
      <c r="BD828" t="s">
        <v>74</v>
      </c>
      <c r="BE828" t="s">
        <v>11876</v>
      </c>
      <c r="BF828" t="str">
        <f>HYPERLINK("http://dx.doi.org/10.1080/10236240310001614457","http://dx.doi.org/10.1080/10236240310001614457")</f>
        <v>http://dx.doi.org/10.1080/10236240310001614457</v>
      </c>
      <c r="BG828" t="s">
        <v>74</v>
      </c>
      <c r="BH828" t="s">
        <v>74</v>
      </c>
      <c r="BI828">
        <v>13</v>
      </c>
      <c r="BJ828" t="s">
        <v>1770</v>
      </c>
      <c r="BK828" t="s">
        <v>1116</v>
      </c>
      <c r="BL828" t="s">
        <v>1770</v>
      </c>
      <c r="BM828" t="s">
        <v>11806</v>
      </c>
      <c r="BN828" t="s">
        <v>74</v>
      </c>
      <c r="BO828" t="s">
        <v>74</v>
      </c>
      <c r="BP828" t="s">
        <v>74</v>
      </c>
      <c r="BQ828" t="s">
        <v>74</v>
      </c>
      <c r="BR828" t="s">
        <v>99</v>
      </c>
      <c r="BS828" t="s">
        <v>11877</v>
      </c>
      <c r="BT828" t="str">
        <f>HYPERLINK("https%3A%2F%2Fwww.webofscience.com%2Fwos%2Fwoscc%2Ffull-record%2FWOS:000187994400008","View Full Record in Web of Science")</f>
        <v>View Full Record in Web of Science</v>
      </c>
    </row>
    <row r="829" spans="1:72" x14ac:dyDescent="0.15">
      <c r="A829" t="s">
        <v>72</v>
      </c>
      <c r="B829" t="s">
        <v>11878</v>
      </c>
      <c r="C829" t="s">
        <v>74</v>
      </c>
      <c r="D829" t="s">
        <v>74</v>
      </c>
      <c r="E829" t="s">
        <v>74</v>
      </c>
      <c r="F829" t="s">
        <v>11878</v>
      </c>
      <c r="G829" t="s">
        <v>74</v>
      </c>
      <c r="H829" t="s">
        <v>74</v>
      </c>
      <c r="I829" t="s">
        <v>11879</v>
      </c>
      <c r="J829" t="s">
        <v>11798</v>
      </c>
      <c r="K829" t="s">
        <v>74</v>
      </c>
      <c r="L829" t="s">
        <v>74</v>
      </c>
      <c r="M829" t="s">
        <v>77</v>
      </c>
      <c r="N829" t="s">
        <v>311</v>
      </c>
      <c r="O829" t="s">
        <v>11817</v>
      </c>
      <c r="P829" t="s">
        <v>11818</v>
      </c>
      <c r="Q829" t="s">
        <v>11819</v>
      </c>
      <c r="R829" t="s">
        <v>74</v>
      </c>
      <c r="S829" t="s">
        <v>74</v>
      </c>
      <c r="T829" t="s">
        <v>11880</v>
      </c>
      <c r="U829" t="s">
        <v>11881</v>
      </c>
      <c r="V829" t="s">
        <v>11882</v>
      </c>
      <c r="W829" t="s">
        <v>11883</v>
      </c>
      <c r="X829" t="s">
        <v>11884</v>
      </c>
      <c r="Y829" t="s">
        <v>11885</v>
      </c>
      <c r="Z829" t="s">
        <v>11886</v>
      </c>
      <c r="AA829" t="s">
        <v>74</v>
      </c>
      <c r="AB829" t="s">
        <v>74</v>
      </c>
      <c r="AC829" t="s">
        <v>74</v>
      </c>
      <c r="AD829" t="s">
        <v>74</v>
      </c>
      <c r="AE829" t="s">
        <v>74</v>
      </c>
      <c r="AF829" t="s">
        <v>74</v>
      </c>
      <c r="AG829">
        <v>18</v>
      </c>
      <c r="AH829">
        <v>2</v>
      </c>
      <c r="AI829">
        <v>2</v>
      </c>
      <c r="AJ829">
        <v>1</v>
      </c>
      <c r="AK829">
        <v>4</v>
      </c>
      <c r="AL829" t="s">
        <v>2642</v>
      </c>
      <c r="AM829" t="s">
        <v>2643</v>
      </c>
      <c r="AN829" t="s">
        <v>5906</v>
      </c>
      <c r="AO829" t="s">
        <v>11811</v>
      </c>
      <c r="AP829" t="s">
        <v>74</v>
      </c>
      <c r="AQ829" t="s">
        <v>74</v>
      </c>
      <c r="AR829" t="s">
        <v>11803</v>
      </c>
      <c r="AS829" t="s">
        <v>11804</v>
      </c>
      <c r="AT829" t="s">
        <v>10978</v>
      </c>
      <c r="AU829">
        <v>2003</v>
      </c>
      <c r="AV829">
        <v>36</v>
      </c>
      <c r="AW829">
        <v>4</v>
      </c>
      <c r="AX829" t="s">
        <v>74</v>
      </c>
      <c r="AY829" t="s">
        <v>74</v>
      </c>
      <c r="AZ829" t="s">
        <v>74</v>
      </c>
      <c r="BA829" t="s">
        <v>74</v>
      </c>
      <c r="BB829">
        <v>285</v>
      </c>
      <c r="BC829">
        <v>293</v>
      </c>
      <c r="BD829" t="s">
        <v>74</v>
      </c>
      <c r="BE829" t="s">
        <v>11887</v>
      </c>
      <c r="BF829" t="str">
        <f>HYPERLINK("http://dx.doi.org/10.1080/10236240310001614411","http://dx.doi.org/10.1080/10236240310001614411")</f>
        <v>http://dx.doi.org/10.1080/10236240310001614411</v>
      </c>
      <c r="BG829" t="s">
        <v>74</v>
      </c>
      <c r="BH829" t="s">
        <v>74</v>
      </c>
      <c r="BI829">
        <v>9</v>
      </c>
      <c r="BJ829" t="s">
        <v>1770</v>
      </c>
      <c r="BK829" t="s">
        <v>332</v>
      </c>
      <c r="BL829" t="s">
        <v>1770</v>
      </c>
      <c r="BM829" t="s">
        <v>11806</v>
      </c>
      <c r="BN829" t="s">
        <v>74</v>
      </c>
      <c r="BO829" t="s">
        <v>74</v>
      </c>
      <c r="BP829" t="s">
        <v>74</v>
      </c>
      <c r="BQ829" t="s">
        <v>74</v>
      </c>
      <c r="BR829" t="s">
        <v>99</v>
      </c>
      <c r="BS829" t="s">
        <v>11888</v>
      </c>
      <c r="BT829" t="str">
        <f>HYPERLINK("https%3A%2F%2Fwww.webofscience.com%2Fwos%2Fwoscc%2Ffull-record%2FWOS:000187994400009","View Full Record in Web of Science")</f>
        <v>View Full Record in Web of Science</v>
      </c>
    </row>
    <row r="830" spans="1:72" x14ac:dyDescent="0.15">
      <c r="A830" t="s">
        <v>72</v>
      </c>
      <c r="B830" t="s">
        <v>11889</v>
      </c>
      <c r="C830" t="s">
        <v>74</v>
      </c>
      <c r="D830" t="s">
        <v>74</v>
      </c>
      <c r="E830" t="s">
        <v>74</v>
      </c>
      <c r="F830" t="s">
        <v>11889</v>
      </c>
      <c r="G830" t="s">
        <v>74</v>
      </c>
      <c r="H830" t="s">
        <v>74</v>
      </c>
      <c r="I830" t="s">
        <v>11890</v>
      </c>
      <c r="J830" t="s">
        <v>11798</v>
      </c>
      <c r="K830" t="s">
        <v>74</v>
      </c>
      <c r="L830" t="s">
        <v>74</v>
      </c>
      <c r="M830" t="s">
        <v>77</v>
      </c>
      <c r="N830" t="s">
        <v>311</v>
      </c>
      <c r="O830" t="s">
        <v>11817</v>
      </c>
      <c r="P830" t="s">
        <v>11818</v>
      </c>
      <c r="Q830" t="s">
        <v>11819</v>
      </c>
      <c r="R830" t="s">
        <v>74</v>
      </c>
      <c r="S830" t="s">
        <v>74</v>
      </c>
      <c r="T830" t="s">
        <v>11891</v>
      </c>
      <c r="U830" t="s">
        <v>11892</v>
      </c>
      <c r="V830" t="s">
        <v>11893</v>
      </c>
      <c r="W830" t="s">
        <v>11894</v>
      </c>
      <c r="X830" t="s">
        <v>132</v>
      </c>
      <c r="Y830" t="s">
        <v>11895</v>
      </c>
      <c r="Z830" t="s">
        <v>11896</v>
      </c>
      <c r="AA830" t="s">
        <v>74</v>
      </c>
      <c r="AB830" t="s">
        <v>11897</v>
      </c>
      <c r="AC830" t="s">
        <v>74</v>
      </c>
      <c r="AD830" t="s">
        <v>74</v>
      </c>
      <c r="AE830" t="s">
        <v>74</v>
      </c>
      <c r="AF830" t="s">
        <v>74</v>
      </c>
      <c r="AG830">
        <v>29</v>
      </c>
      <c r="AH830">
        <v>10</v>
      </c>
      <c r="AI830">
        <v>10</v>
      </c>
      <c r="AJ830">
        <v>0</v>
      </c>
      <c r="AK830">
        <v>7</v>
      </c>
      <c r="AL830" t="s">
        <v>2642</v>
      </c>
      <c r="AM830" t="s">
        <v>2643</v>
      </c>
      <c r="AN830" t="s">
        <v>5906</v>
      </c>
      <c r="AO830" t="s">
        <v>11802</v>
      </c>
      <c r="AP830" t="s">
        <v>74</v>
      </c>
      <c r="AQ830" t="s">
        <v>74</v>
      </c>
      <c r="AR830" t="s">
        <v>11803</v>
      </c>
      <c r="AS830" t="s">
        <v>11804</v>
      </c>
      <c r="AT830" t="s">
        <v>10978</v>
      </c>
      <c r="AU830">
        <v>2003</v>
      </c>
      <c r="AV830">
        <v>36</v>
      </c>
      <c r="AW830">
        <v>4</v>
      </c>
      <c r="AX830" t="s">
        <v>74</v>
      </c>
      <c r="AY830" t="s">
        <v>74</v>
      </c>
      <c r="AZ830" t="s">
        <v>74</v>
      </c>
      <c r="BA830" t="s">
        <v>74</v>
      </c>
      <c r="BB830">
        <v>295</v>
      </c>
      <c r="BC830">
        <v>305</v>
      </c>
      <c r="BD830" t="s">
        <v>74</v>
      </c>
      <c r="BE830" t="s">
        <v>11898</v>
      </c>
      <c r="BF830" t="str">
        <f>HYPERLINK("http://dx.doi.org/10.1080/10236240310001614402","http://dx.doi.org/10.1080/10236240310001614402")</f>
        <v>http://dx.doi.org/10.1080/10236240310001614402</v>
      </c>
      <c r="BG830" t="s">
        <v>74</v>
      </c>
      <c r="BH830" t="s">
        <v>74</v>
      </c>
      <c r="BI830">
        <v>11</v>
      </c>
      <c r="BJ830" t="s">
        <v>1770</v>
      </c>
      <c r="BK830" t="s">
        <v>1116</v>
      </c>
      <c r="BL830" t="s">
        <v>1770</v>
      </c>
      <c r="BM830" t="s">
        <v>11806</v>
      </c>
      <c r="BN830" t="s">
        <v>74</v>
      </c>
      <c r="BO830" t="s">
        <v>74</v>
      </c>
      <c r="BP830" t="s">
        <v>74</v>
      </c>
      <c r="BQ830" t="s">
        <v>74</v>
      </c>
      <c r="BR830" t="s">
        <v>99</v>
      </c>
      <c r="BS830" t="s">
        <v>11899</v>
      </c>
      <c r="BT830" t="str">
        <f>HYPERLINK("https%3A%2F%2Fwww.webofscience.com%2Fwos%2Fwoscc%2Ffull-record%2FWOS:000187994400010","View Full Record in Web of Science")</f>
        <v>View Full Record in Web of Science</v>
      </c>
    </row>
    <row r="831" spans="1:72" x14ac:dyDescent="0.15">
      <c r="A831" t="s">
        <v>72</v>
      </c>
      <c r="B831" t="s">
        <v>11900</v>
      </c>
      <c r="C831" t="s">
        <v>74</v>
      </c>
      <c r="D831" t="s">
        <v>74</v>
      </c>
      <c r="E831" t="s">
        <v>74</v>
      </c>
      <c r="F831" t="s">
        <v>11900</v>
      </c>
      <c r="G831" t="s">
        <v>74</v>
      </c>
      <c r="H831" t="s">
        <v>74</v>
      </c>
      <c r="I831" t="s">
        <v>11901</v>
      </c>
      <c r="J831" t="s">
        <v>11798</v>
      </c>
      <c r="K831" t="s">
        <v>74</v>
      </c>
      <c r="L831" t="s">
        <v>74</v>
      </c>
      <c r="M831" t="s">
        <v>77</v>
      </c>
      <c r="N831" t="s">
        <v>311</v>
      </c>
      <c r="O831" t="s">
        <v>11817</v>
      </c>
      <c r="P831" t="s">
        <v>11818</v>
      </c>
      <c r="Q831" t="s">
        <v>11819</v>
      </c>
      <c r="R831" t="s">
        <v>74</v>
      </c>
      <c r="S831" t="s">
        <v>74</v>
      </c>
      <c r="T831" t="s">
        <v>11902</v>
      </c>
      <c r="U831" t="s">
        <v>11903</v>
      </c>
      <c r="V831" t="s">
        <v>11904</v>
      </c>
      <c r="W831" t="s">
        <v>11905</v>
      </c>
      <c r="X831" t="s">
        <v>11906</v>
      </c>
      <c r="Y831" t="s">
        <v>11907</v>
      </c>
      <c r="Z831" t="s">
        <v>11908</v>
      </c>
      <c r="AA831" t="s">
        <v>11909</v>
      </c>
      <c r="AB831" t="s">
        <v>74</v>
      </c>
      <c r="AC831" t="s">
        <v>74</v>
      </c>
      <c r="AD831" t="s">
        <v>74</v>
      </c>
      <c r="AE831" t="s">
        <v>74</v>
      </c>
      <c r="AF831" t="s">
        <v>74</v>
      </c>
      <c r="AG831">
        <v>36</v>
      </c>
      <c r="AH831">
        <v>38</v>
      </c>
      <c r="AI831">
        <v>44</v>
      </c>
      <c r="AJ831">
        <v>0</v>
      </c>
      <c r="AK831">
        <v>4</v>
      </c>
      <c r="AL831" t="s">
        <v>2642</v>
      </c>
      <c r="AM831" t="s">
        <v>2643</v>
      </c>
      <c r="AN831" t="s">
        <v>5906</v>
      </c>
      <c r="AO831" t="s">
        <v>11811</v>
      </c>
      <c r="AP831" t="s">
        <v>74</v>
      </c>
      <c r="AQ831" t="s">
        <v>74</v>
      </c>
      <c r="AR831" t="s">
        <v>11803</v>
      </c>
      <c r="AS831" t="s">
        <v>11804</v>
      </c>
      <c r="AT831" t="s">
        <v>10978</v>
      </c>
      <c r="AU831">
        <v>2003</v>
      </c>
      <c r="AV831">
        <v>36</v>
      </c>
      <c r="AW831">
        <v>4</v>
      </c>
      <c r="AX831" t="s">
        <v>74</v>
      </c>
      <c r="AY831" t="s">
        <v>74</v>
      </c>
      <c r="AZ831" t="s">
        <v>74</v>
      </c>
      <c r="BA831" t="s">
        <v>74</v>
      </c>
      <c r="BB831">
        <v>307</v>
      </c>
      <c r="BC831">
        <v>319</v>
      </c>
      <c r="BD831" t="s">
        <v>74</v>
      </c>
      <c r="BE831" t="s">
        <v>11910</v>
      </c>
      <c r="BF831" t="str">
        <f>HYPERLINK("http://dx.doi.org/10.1080/10236240310001614439","http://dx.doi.org/10.1080/10236240310001614439")</f>
        <v>http://dx.doi.org/10.1080/10236240310001614439</v>
      </c>
      <c r="BG831" t="s">
        <v>74</v>
      </c>
      <c r="BH831" t="s">
        <v>74</v>
      </c>
      <c r="BI831">
        <v>13</v>
      </c>
      <c r="BJ831" t="s">
        <v>1770</v>
      </c>
      <c r="BK831" t="s">
        <v>332</v>
      </c>
      <c r="BL831" t="s">
        <v>1770</v>
      </c>
      <c r="BM831" t="s">
        <v>11806</v>
      </c>
      <c r="BN831" t="s">
        <v>74</v>
      </c>
      <c r="BO831" t="s">
        <v>74</v>
      </c>
      <c r="BP831" t="s">
        <v>74</v>
      </c>
      <c r="BQ831" t="s">
        <v>74</v>
      </c>
      <c r="BR831" t="s">
        <v>99</v>
      </c>
      <c r="BS831" t="s">
        <v>11911</v>
      </c>
      <c r="BT831" t="str">
        <f>HYPERLINK("https%3A%2F%2Fwww.webofscience.com%2Fwos%2Fwoscc%2Ffull-record%2FWOS:000187994400011","View Full Record in Web of Science")</f>
        <v>View Full Record in Web of Science</v>
      </c>
    </row>
    <row r="832" spans="1:72" x14ac:dyDescent="0.15">
      <c r="A832" t="s">
        <v>72</v>
      </c>
      <c r="B832" t="s">
        <v>11912</v>
      </c>
      <c r="C832" t="s">
        <v>74</v>
      </c>
      <c r="D832" t="s">
        <v>74</v>
      </c>
      <c r="E832" t="s">
        <v>74</v>
      </c>
      <c r="F832" t="s">
        <v>11912</v>
      </c>
      <c r="G832" t="s">
        <v>74</v>
      </c>
      <c r="H832" t="s">
        <v>74</v>
      </c>
      <c r="I832" t="s">
        <v>11913</v>
      </c>
      <c r="J832" t="s">
        <v>1815</v>
      </c>
      <c r="K832" t="s">
        <v>74</v>
      </c>
      <c r="L832" t="s">
        <v>74</v>
      </c>
      <c r="M832" t="s">
        <v>77</v>
      </c>
      <c r="N832" t="s">
        <v>311</v>
      </c>
      <c r="O832" t="s">
        <v>11914</v>
      </c>
      <c r="P832" t="s">
        <v>11915</v>
      </c>
      <c r="Q832" t="s">
        <v>11916</v>
      </c>
      <c r="R832" t="s">
        <v>74</v>
      </c>
      <c r="S832" t="s">
        <v>11917</v>
      </c>
      <c r="T832" t="s">
        <v>74</v>
      </c>
      <c r="U832" t="s">
        <v>11918</v>
      </c>
      <c r="V832" t="s">
        <v>11919</v>
      </c>
      <c r="W832" t="s">
        <v>11920</v>
      </c>
      <c r="X832" t="s">
        <v>11921</v>
      </c>
      <c r="Y832" t="s">
        <v>11922</v>
      </c>
      <c r="Z832" t="s">
        <v>11923</v>
      </c>
      <c r="AA832" t="s">
        <v>11924</v>
      </c>
      <c r="AB832" t="s">
        <v>74</v>
      </c>
      <c r="AC832" t="s">
        <v>74</v>
      </c>
      <c r="AD832" t="s">
        <v>74</v>
      </c>
      <c r="AE832" t="s">
        <v>74</v>
      </c>
      <c r="AF832" t="s">
        <v>74</v>
      </c>
      <c r="AG832">
        <v>74</v>
      </c>
      <c r="AH832">
        <v>36</v>
      </c>
      <c r="AI832">
        <v>36</v>
      </c>
      <c r="AJ832">
        <v>0</v>
      </c>
      <c r="AK832">
        <v>16</v>
      </c>
      <c r="AL832" t="s">
        <v>198</v>
      </c>
      <c r="AM832" t="s">
        <v>178</v>
      </c>
      <c r="AN832" t="s">
        <v>179</v>
      </c>
      <c r="AO832" t="s">
        <v>1825</v>
      </c>
      <c r="AP832" t="s">
        <v>1840</v>
      </c>
      <c r="AQ832" t="s">
        <v>74</v>
      </c>
      <c r="AR832" t="s">
        <v>1826</v>
      </c>
      <c r="AS832" t="s">
        <v>1827</v>
      </c>
      <c r="AT832" t="s">
        <v>10978</v>
      </c>
      <c r="AU832">
        <v>2003</v>
      </c>
      <c r="AV832">
        <v>38</v>
      </c>
      <c r="AW832">
        <v>12</v>
      </c>
      <c r="AX832" t="s">
        <v>74</v>
      </c>
      <c r="AY832" t="s">
        <v>74</v>
      </c>
      <c r="AZ832" t="s">
        <v>74</v>
      </c>
      <c r="BA832" t="s">
        <v>74</v>
      </c>
      <c r="BB832">
        <v>1833</v>
      </c>
      <c r="BC832">
        <v>1848</v>
      </c>
      <c r="BD832" t="s">
        <v>74</v>
      </c>
      <c r="BE832" t="s">
        <v>11925</v>
      </c>
      <c r="BF832" t="str">
        <f>HYPERLINK("http://dx.doi.org/10.1111/j.1945-5100.2003.tb00018.x","http://dx.doi.org/10.1111/j.1945-5100.2003.tb00018.x")</f>
        <v>http://dx.doi.org/10.1111/j.1945-5100.2003.tb00018.x</v>
      </c>
      <c r="BG832" t="s">
        <v>74</v>
      </c>
      <c r="BH832" t="s">
        <v>74</v>
      </c>
      <c r="BI832">
        <v>16</v>
      </c>
      <c r="BJ832" t="s">
        <v>262</v>
      </c>
      <c r="BK832" t="s">
        <v>332</v>
      </c>
      <c r="BL832" t="s">
        <v>262</v>
      </c>
      <c r="BM832" t="s">
        <v>11926</v>
      </c>
      <c r="BN832" t="s">
        <v>74</v>
      </c>
      <c r="BO832" t="s">
        <v>541</v>
      </c>
      <c r="BP832" t="s">
        <v>74</v>
      </c>
      <c r="BQ832" t="s">
        <v>74</v>
      </c>
      <c r="BR832" t="s">
        <v>99</v>
      </c>
      <c r="BS832" t="s">
        <v>11927</v>
      </c>
      <c r="BT832" t="str">
        <f>HYPERLINK("https%3A%2F%2Fwww.webofscience.com%2Fwos%2Fwoscc%2Ffull-record%2FWOS:000188802500009","View Full Record in Web of Science")</f>
        <v>View Full Record in Web of Science</v>
      </c>
    </row>
    <row r="833" spans="1:72" x14ac:dyDescent="0.15">
      <c r="A833" t="s">
        <v>72</v>
      </c>
      <c r="B833" t="s">
        <v>11928</v>
      </c>
      <c r="C833" t="s">
        <v>74</v>
      </c>
      <c r="D833" t="s">
        <v>74</v>
      </c>
      <c r="E833" t="s">
        <v>74</v>
      </c>
      <c r="F833" t="s">
        <v>11928</v>
      </c>
      <c r="G833" t="s">
        <v>74</v>
      </c>
      <c r="H833" t="s">
        <v>74</v>
      </c>
      <c r="I833" t="s">
        <v>11929</v>
      </c>
      <c r="J833" t="s">
        <v>11930</v>
      </c>
      <c r="K833" t="s">
        <v>74</v>
      </c>
      <c r="L833" t="s">
        <v>74</v>
      </c>
      <c r="M833" t="s">
        <v>77</v>
      </c>
      <c r="N833" t="s">
        <v>78</v>
      </c>
      <c r="O833" t="s">
        <v>74</v>
      </c>
      <c r="P833" t="s">
        <v>74</v>
      </c>
      <c r="Q833" t="s">
        <v>74</v>
      </c>
      <c r="R833" t="s">
        <v>74</v>
      </c>
      <c r="S833" t="s">
        <v>74</v>
      </c>
      <c r="T833" t="s">
        <v>74</v>
      </c>
      <c r="U833" t="s">
        <v>11931</v>
      </c>
      <c r="V833" t="s">
        <v>11932</v>
      </c>
      <c r="W833" t="s">
        <v>11933</v>
      </c>
      <c r="X833" t="s">
        <v>11934</v>
      </c>
      <c r="Y833" t="s">
        <v>11935</v>
      </c>
      <c r="Z833" t="s">
        <v>11936</v>
      </c>
      <c r="AA833" t="s">
        <v>11937</v>
      </c>
      <c r="AB833" t="s">
        <v>11938</v>
      </c>
      <c r="AC833" t="s">
        <v>74</v>
      </c>
      <c r="AD833" t="s">
        <v>74</v>
      </c>
      <c r="AE833" t="s">
        <v>74</v>
      </c>
      <c r="AF833" t="s">
        <v>74</v>
      </c>
      <c r="AG833">
        <v>32</v>
      </c>
      <c r="AH833">
        <v>20</v>
      </c>
      <c r="AI833">
        <v>20</v>
      </c>
      <c r="AJ833">
        <v>0</v>
      </c>
      <c r="AK833">
        <v>1</v>
      </c>
      <c r="AL833" t="s">
        <v>11939</v>
      </c>
      <c r="AM833" t="s">
        <v>11940</v>
      </c>
      <c r="AN833" t="s">
        <v>11941</v>
      </c>
      <c r="AO833" t="s">
        <v>11942</v>
      </c>
      <c r="AP833" t="s">
        <v>11943</v>
      </c>
      <c r="AQ833" t="s">
        <v>74</v>
      </c>
      <c r="AR833" t="s">
        <v>11930</v>
      </c>
      <c r="AS833" t="s">
        <v>11944</v>
      </c>
      <c r="AT833" t="s">
        <v>11235</v>
      </c>
      <c r="AU833">
        <v>2003</v>
      </c>
      <c r="AV833">
        <v>49</v>
      </c>
      <c r="AW833">
        <v>4</v>
      </c>
      <c r="AX833" t="s">
        <v>74</v>
      </c>
      <c r="AY833" t="s">
        <v>74</v>
      </c>
      <c r="AZ833" t="s">
        <v>74</v>
      </c>
      <c r="BA833" t="s">
        <v>74</v>
      </c>
      <c r="BB833">
        <v>375</v>
      </c>
      <c r="BC833">
        <v>380</v>
      </c>
      <c r="BD833" t="s">
        <v>74</v>
      </c>
      <c r="BE833" t="s">
        <v>11945</v>
      </c>
      <c r="BF833" t="str">
        <f>HYPERLINK("http://dx.doi.org/10.1661/0026-2803(2003)049[0375:SIIFTC]2.0.CO;2","http://dx.doi.org/10.1661/0026-2803(2003)049[0375:SIIFTC]2.0.CO;2")</f>
        <v>http://dx.doi.org/10.1661/0026-2803(2003)049[0375:SIIFTC]2.0.CO;2</v>
      </c>
      <c r="BG833" t="s">
        <v>74</v>
      </c>
      <c r="BH833" t="s">
        <v>74</v>
      </c>
      <c r="BI833">
        <v>6</v>
      </c>
      <c r="BJ833" t="s">
        <v>1750</v>
      </c>
      <c r="BK833" t="s">
        <v>96</v>
      </c>
      <c r="BL833" t="s">
        <v>1750</v>
      </c>
      <c r="BM833" t="s">
        <v>11946</v>
      </c>
      <c r="BN833" t="s">
        <v>74</v>
      </c>
      <c r="BO833" t="s">
        <v>74</v>
      </c>
      <c r="BP833" t="s">
        <v>74</v>
      </c>
      <c r="BQ833" t="s">
        <v>74</v>
      </c>
      <c r="BR833" t="s">
        <v>99</v>
      </c>
      <c r="BS833" t="s">
        <v>11947</v>
      </c>
      <c r="BT833" t="str">
        <f>HYPERLINK("https%3A%2F%2Fwww.webofscience.com%2Fwos%2Fwoscc%2Ffull-record%2FWOS:000187973200004","View Full Record in Web of Science")</f>
        <v>View Full Record in Web of Science</v>
      </c>
    </row>
    <row r="834" spans="1:72" x14ac:dyDescent="0.15">
      <c r="A834" t="s">
        <v>72</v>
      </c>
      <c r="B834" t="s">
        <v>11948</v>
      </c>
      <c r="C834" t="s">
        <v>74</v>
      </c>
      <c r="D834" t="s">
        <v>74</v>
      </c>
      <c r="E834" t="s">
        <v>74</v>
      </c>
      <c r="F834" t="s">
        <v>11948</v>
      </c>
      <c r="G834" t="s">
        <v>74</v>
      </c>
      <c r="H834" t="s">
        <v>74</v>
      </c>
      <c r="I834" t="s">
        <v>11949</v>
      </c>
      <c r="J834" t="s">
        <v>11950</v>
      </c>
      <c r="K834" t="s">
        <v>74</v>
      </c>
      <c r="L834" t="s">
        <v>74</v>
      </c>
      <c r="M834" t="s">
        <v>77</v>
      </c>
      <c r="N834" t="s">
        <v>78</v>
      </c>
      <c r="O834" t="s">
        <v>74</v>
      </c>
      <c r="P834" t="s">
        <v>74</v>
      </c>
      <c r="Q834" t="s">
        <v>74</v>
      </c>
      <c r="R834" t="s">
        <v>74</v>
      </c>
      <c r="S834" t="s">
        <v>74</v>
      </c>
      <c r="T834" t="s">
        <v>74</v>
      </c>
      <c r="U834" t="s">
        <v>11951</v>
      </c>
      <c r="V834" t="s">
        <v>11952</v>
      </c>
      <c r="W834" t="s">
        <v>11953</v>
      </c>
      <c r="X834" t="s">
        <v>2062</v>
      </c>
      <c r="Y834" t="s">
        <v>74</v>
      </c>
      <c r="Z834" t="s">
        <v>11954</v>
      </c>
      <c r="AA834" t="s">
        <v>74</v>
      </c>
      <c r="AB834" t="s">
        <v>74</v>
      </c>
      <c r="AC834" t="s">
        <v>74</v>
      </c>
      <c r="AD834" t="s">
        <v>74</v>
      </c>
      <c r="AE834" t="s">
        <v>74</v>
      </c>
      <c r="AF834" t="s">
        <v>74</v>
      </c>
      <c r="AG834">
        <v>86</v>
      </c>
      <c r="AH834">
        <v>1</v>
      </c>
      <c r="AI834">
        <v>1</v>
      </c>
      <c r="AJ834">
        <v>0</v>
      </c>
      <c r="AK834">
        <v>1</v>
      </c>
      <c r="AL834" t="s">
        <v>11955</v>
      </c>
      <c r="AM834" t="s">
        <v>1897</v>
      </c>
      <c r="AN834" t="s">
        <v>11956</v>
      </c>
      <c r="AO834" t="s">
        <v>11957</v>
      </c>
      <c r="AP834" t="s">
        <v>11958</v>
      </c>
      <c r="AQ834" t="s">
        <v>74</v>
      </c>
      <c r="AR834" t="s">
        <v>11959</v>
      </c>
      <c r="AS834" t="s">
        <v>11960</v>
      </c>
      <c r="AT834" t="s">
        <v>10978</v>
      </c>
      <c r="AU834">
        <v>2003</v>
      </c>
      <c r="AV834">
        <v>32</v>
      </c>
      <c r="AW834">
        <v>2</v>
      </c>
      <c r="AX834" t="s">
        <v>74</v>
      </c>
      <c r="AY834" t="s">
        <v>74</v>
      </c>
      <c r="AZ834" t="s">
        <v>74</v>
      </c>
      <c r="BA834" t="s">
        <v>74</v>
      </c>
      <c r="BB834">
        <v>110</v>
      </c>
      <c r="BC834">
        <v>118</v>
      </c>
      <c r="BD834" t="s">
        <v>74</v>
      </c>
      <c r="BE834" t="s">
        <v>74</v>
      </c>
      <c r="BF834" t="s">
        <v>74</v>
      </c>
      <c r="BG834" t="s">
        <v>74</v>
      </c>
      <c r="BH834" t="s">
        <v>74</v>
      </c>
      <c r="BI834">
        <v>9</v>
      </c>
      <c r="BJ834" t="s">
        <v>11961</v>
      </c>
      <c r="BK834" t="s">
        <v>8260</v>
      </c>
      <c r="BL834" t="s">
        <v>11962</v>
      </c>
      <c r="BM834" t="s">
        <v>11963</v>
      </c>
      <c r="BN834" t="s">
        <v>74</v>
      </c>
      <c r="BO834" t="s">
        <v>74</v>
      </c>
      <c r="BP834" t="s">
        <v>74</v>
      </c>
      <c r="BQ834" t="s">
        <v>74</v>
      </c>
      <c r="BR834" t="s">
        <v>99</v>
      </c>
      <c r="BS834" t="s">
        <v>11964</v>
      </c>
      <c r="BT834" t="str">
        <f>HYPERLINK("https%3A%2F%2Fwww.webofscience.com%2Fwos%2Fwoscc%2Ffull-record%2FWOS:000188654300008","View Full Record in Web of Science")</f>
        <v>View Full Record in Web of Science</v>
      </c>
    </row>
    <row r="835" spans="1:72" x14ac:dyDescent="0.15">
      <c r="A835" t="s">
        <v>72</v>
      </c>
      <c r="B835" t="s">
        <v>11965</v>
      </c>
      <c r="C835" t="s">
        <v>74</v>
      </c>
      <c r="D835" t="s">
        <v>74</v>
      </c>
      <c r="E835" t="s">
        <v>74</v>
      </c>
      <c r="F835" t="s">
        <v>11965</v>
      </c>
      <c r="G835" t="s">
        <v>74</v>
      </c>
      <c r="H835" t="s">
        <v>74</v>
      </c>
      <c r="I835" t="s">
        <v>11966</v>
      </c>
      <c r="J835" t="s">
        <v>11950</v>
      </c>
      <c r="K835" t="s">
        <v>74</v>
      </c>
      <c r="L835" t="s">
        <v>74</v>
      </c>
      <c r="M835" t="s">
        <v>77</v>
      </c>
      <c r="N835" t="s">
        <v>822</v>
      </c>
      <c r="O835" t="s">
        <v>74</v>
      </c>
      <c r="P835" t="s">
        <v>74</v>
      </c>
      <c r="Q835" t="s">
        <v>74</v>
      </c>
      <c r="R835" t="s">
        <v>74</v>
      </c>
      <c r="S835" t="s">
        <v>74</v>
      </c>
      <c r="T835" t="s">
        <v>74</v>
      </c>
      <c r="U835" t="s">
        <v>74</v>
      </c>
      <c r="V835" t="s">
        <v>74</v>
      </c>
      <c r="W835" t="s">
        <v>11967</v>
      </c>
      <c r="X835" t="s">
        <v>1760</v>
      </c>
      <c r="Y835" t="s">
        <v>74</v>
      </c>
      <c r="Z835" t="s">
        <v>11968</v>
      </c>
      <c r="AA835" t="s">
        <v>74</v>
      </c>
      <c r="AB835" t="s">
        <v>11969</v>
      </c>
      <c r="AC835" t="s">
        <v>74</v>
      </c>
      <c r="AD835" t="s">
        <v>74</v>
      </c>
      <c r="AE835" t="s">
        <v>74</v>
      </c>
      <c r="AF835" t="s">
        <v>74</v>
      </c>
      <c r="AG835">
        <v>4</v>
      </c>
      <c r="AH835">
        <v>0</v>
      </c>
      <c r="AI835">
        <v>0</v>
      </c>
      <c r="AJ835">
        <v>0</v>
      </c>
      <c r="AK835">
        <v>0</v>
      </c>
      <c r="AL835" t="s">
        <v>11955</v>
      </c>
      <c r="AM835" t="s">
        <v>1897</v>
      </c>
      <c r="AN835" t="s">
        <v>11956</v>
      </c>
      <c r="AO835" t="s">
        <v>11957</v>
      </c>
      <c r="AP835" t="s">
        <v>74</v>
      </c>
      <c r="AQ835" t="s">
        <v>74</v>
      </c>
      <c r="AR835" t="s">
        <v>11959</v>
      </c>
      <c r="AS835" t="s">
        <v>11960</v>
      </c>
      <c r="AT835" t="s">
        <v>10978</v>
      </c>
      <c r="AU835">
        <v>2003</v>
      </c>
      <c r="AV835">
        <v>32</v>
      </c>
      <c r="AW835">
        <v>2</v>
      </c>
      <c r="AX835" t="s">
        <v>74</v>
      </c>
      <c r="AY835" t="s">
        <v>74</v>
      </c>
      <c r="AZ835" t="s">
        <v>74</v>
      </c>
      <c r="BA835" t="s">
        <v>74</v>
      </c>
      <c r="BB835">
        <v>121</v>
      </c>
      <c r="BC835">
        <v>122</v>
      </c>
      <c r="BD835" t="s">
        <v>74</v>
      </c>
      <c r="BE835" t="s">
        <v>74</v>
      </c>
      <c r="BF835" t="s">
        <v>74</v>
      </c>
      <c r="BG835" t="s">
        <v>74</v>
      </c>
      <c r="BH835" t="s">
        <v>74</v>
      </c>
      <c r="BI835">
        <v>2</v>
      </c>
      <c r="BJ835" t="s">
        <v>11961</v>
      </c>
      <c r="BK835" t="s">
        <v>8260</v>
      </c>
      <c r="BL835" t="s">
        <v>11962</v>
      </c>
      <c r="BM835" t="s">
        <v>11963</v>
      </c>
      <c r="BN835" t="s">
        <v>74</v>
      </c>
      <c r="BO835" t="s">
        <v>74</v>
      </c>
      <c r="BP835" t="s">
        <v>74</v>
      </c>
      <c r="BQ835" t="s">
        <v>74</v>
      </c>
      <c r="BR835" t="s">
        <v>99</v>
      </c>
      <c r="BS835" t="s">
        <v>11970</v>
      </c>
      <c r="BT835" t="str">
        <f>HYPERLINK("https%3A%2F%2Fwww.webofscience.com%2Fwos%2Fwoscc%2Ffull-record%2FWOS:000188654300010","View Full Record in Web of Science")</f>
        <v>View Full Record in Web of Science</v>
      </c>
    </row>
    <row r="836" spans="1:72" x14ac:dyDescent="0.15">
      <c r="A836" t="s">
        <v>72</v>
      </c>
      <c r="B836" t="s">
        <v>11971</v>
      </c>
      <c r="C836" t="s">
        <v>74</v>
      </c>
      <c r="D836" t="s">
        <v>74</v>
      </c>
      <c r="E836" t="s">
        <v>74</v>
      </c>
      <c r="F836" t="s">
        <v>11971</v>
      </c>
      <c r="G836" t="s">
        <v>74</v>
      </c>
      <c r="H836" t="s">
        <v>74</v>
      </c>
      <c r="I836" t="s">
        <v>11972</v>
      </c>
      <c r="J836" t="s">
        <v>11973</v>
      </c>
      <c r="K836" t="s">
        <v>74</v>
      </c>
      <c r="L836" t="s">
        <v>74</v>
      </c>
      <c r="M836" t="s">
        <v>77</v>
      </c>
      <c r="N836" t="s">
        <v>78</v>
      </c>
      <c r="O836" t="s">
        <v>74</v>
      </c>
      <c r="P836" t="s">
        <v>74</v>
      </c>
      <c r="Q836" t="s">
        <v>74</v>
      </c>
      <c r="R836" t="s">
        <v>74</v>
      </c>
      <c r="S836" t="s">
        <v>74</v>
      </c>
      <c r="T836" t="s">
        <v>74</v>
      </c>
      <c r="U836" t="s">
        <v>11974</v>
      </c>
      <c r="V836" t="s">
        <v>11975</v>
      </c>
      <c r="W836" t="s">
        <v>11976</v>
      </c>
      <c r="X836" t="s">
        <v>11977</v>
      </c>
      <c r="Y836" t="s">
        <v>11978</v>
      </c>
      <c r="Z836" t="s">
        <v>11979</v>
      </c>
      <c r="AA836" t="s">
        <v>74</v>
      </c>
      <c r="AB836" t="s">
        <v>74</v>
      </c>
      <c r="AC836" t="s">
        <v>74</v>
      </c>
      <c r="AD836" t="s">
        <v>74</v>
      </c>
      <c r="AE836" t="s">
        <v>74</v>
      </c>
      <c r="AF836" t="s">
        <v>74</v>
      </c>
      <c r="AG836">
        <v>50</v>
      </c>
      <c r="AH836">
        <v>6</v>
      </c>
      <c r="AI836">
        <v>6</v>
      </c>
      <c r="AJ836">
        <v>0</v>
      </c>
      <c r="AK836">
        <v>18</v>
      </c>
      <c r="AL836" t="s">
        <v>198</v>
      </c>
      <c r="AM836" t="s">
        <v>178</v>
      </c>
      <c r="AN836" t="s">
        <v>179</v>
      </c>
      <c r="AO836" t="s">
        <v>11980</v>
      </c>
      <c r="AP836" t="s">
        <v>11981</v>
      </c>
      <c r="AQ836" t="s">
        <v>74</v>
      </c>
      <c r="AR836" t="s">
        <v>11973</v>
      </c>
      <c r="AS836" t="s">
        <v>11982</v>
      </c>
      <c r="AT836" t="s">
        <v>10978</v>
      </c>
      <c r="AU836">
        <v>2003</v>
      </c>
      <c r="AV836">
        <v>103</v>
      </c>
      <c r="AW836">
        <v>3</v>
      </c>
      <c r="AX836" t="s">
        <v>74</v>
      </c>
      <c r="AY836" t="s">
        <v>74</v>
      </c>
      <c r="AZ836" t="s">
        <v>74</v>
      </c>
      <c r="BA836" t="s">
        <v>74</v>
      </c>
      <c r="BB836">
        <v>528</v>
      </c>
      <c r="BC836">
        <v>536</v>
      </c>
      <c r="BD836" t="s">
        <v>74</v>
      </c>
      <c r="BE836" t="s">
        <v>11983</v>
      </c>
      <c r="BF836" t="str">
        <f>HYPERLINK("http://dx.doi.org/10.1034/j.1600-0706.2003.12421.x","http://dx.doi.org/10.1034/j.1600-0706.2003.12421.x")</f>
        <v>http://dx.doi.org/10.1034/j.1600-0706.2003.12421.x</v>
      </c>
      <c r="BG836" t="s">
        <v>74</v>
      </c>
      <c r="BH836" t="s">
        <v>74</v>
      </c>
      <c r="BI836">
        <v>9</v>
      </c>
      <c r="BJ836" t="s">
        <v>2926</v>
      </c>
      <c r="BK836" t="s">
        <v>96</v>
      </c>
      <c r="BL836" t="s">
        <v>144</v>
      </c>
      <c r="BM836" t="s">
        <v>11984</v>
      </c>
      <c r="BN836" t="s">
        <v>74</v>
      </c>
      <c r="BO836" t="s">
        <v>74</v>
      </c>
      <c r="BP836" t="s">
        <v>74</v>
      </c>
      <c r="BQ836" t="s">
        <v>74</v>
      </c>
      <c r="BR836" t="s">
        <v>99</v>
      </c>
      <c r="BS836" t="s">
        <v>11985</v>
      </c>
      <c r="BT836" t="str">
        <f>HYPERLINK("https%3A%2F%2Fwww.webofscience.com%2Fwos%2Fwoscc%2Ffull-record%2FWOS:000186985900009","View Full Record in Web of Science")</f>
        <v>View Full Record in Web of Science</v>
      </c>
    </row>
    <row r="837" spans="1:72" x14ac:dyDescent="0.15">
      <c r="A837" t="s">
        <v>72</v>
      </c>
      <c r="B837" t="s">
        <v>11986</v>
      </c>
      <c r="C837" t="s">
        <v>74</v>
      </c>
      <c r="D837" t="s">
        <v>74</v>
      </c>
      <c r="E837" t="s">
        <v>74</v>
      </c>
      <c r="F837" t="s">
        <v>11986</v>
      </c>
      <c r="G837" t="s">
        <v>74</v>
      </c>
      <c r="H837" t="s">
        <v>74</v>
      </c>
      <c r="I837" t="s">
        <v>11987</v>
      </c>
      <c r="J837" t="s">
        <v>11988</v>
      </c>
      <c r="K837" t="s">
        <v>74</v>
      </c>
      <c r="L837" t="s">
        <v>74</v>
      </c>
      <c r="M837" t="s">
        <v>77</v>
      </c>
      <c r="N837" t="s">
        <v>78</v>
      </c>
      <c r="O837" t="s">
        <v>74</v>
      </c>
      <c r="P837" t="s">
        <v>74</v>
      </c>
      <c r="Q837" t="s">
        <v>74</v>
      </c>
      <c r="R837" t="s">
        <v>74</v>
      </c>
      <c r="S837" t="s">
        <v>74</v>
      </c>
      <c r="T837" t="s">
        <v>11989</v>
      </c>
      <c r="U837" t="s">
        <v>11990</v>
      </c>
      <c r="V837" t="s">
        <v>11991</v>
      </c>
      <c r="W837" t="s">
        <v>11992</v>
      </c>
      <c r="X837" t="s">
        <v>11993</v>
      </c>
      <c r="Y837" t="s">
        <v>11994</v>
      </c>
      <c r="Z837" t="s">
        <v>74</v>
      </c>
      <c r="AA837" t="s">
        <v>11995</v>
      </c>
      <c r="AB837" t="s">
        <v>11996</v>
      </c>
      <c r="AC837" t="s">
        <v>74</v>
      </c>
      <c r="AD837" t="s">
        <v>74</v>
      </c>
      <c r="AE837" t="s">
        <v>74</v>
      </c>
      <c r="AF837" t="s">
        <v>74</v>
      </c>
      <c r="AG837">
        <v>55</v>
      </c>
      <c r="AH837">
        <v>22</v>
      </c>
      <c r="AI837">
        <v>25</v>
      </c>
      <c r="AJ837">
        <v>0</v>
      </c>
      <c r="AK837">
        <v>6</v>
      </c>
      <c r="AL837" t="s">
        <v>1235</v>
      </c>
      <c r="AM837" t="s">
        <v>214</v>
      </c>
      <c r="AN837" t="s">
        <v>1236</v>
      </c>
      <c r="AO837" t="s">
        <v>11997</v>
      </c>
      <c r="AP837" t="s">
        <v>74</v>
      </c>
      <c r="AQ837" t="s">
        <v>74</v>
      </c>
      <c r="AR837" t="s">
        <v>11998</v>
      </c>
      <c r="AS837" t="s">
        <v>11999</v>
      </c>
      <c r="AT837" t="s">
        <v>10978</v>
      </c>
      <c r="AU837">
        <v>2003</v>
      </c>
      <c r="AV837">
        <v>26</v>
      </c>
      <c r="AW837">
        <v>12</v>
      </c>
      <c r="AX837" t="s">
        <v>74</v>
      </c>
      <c r="AY837" t="s">
        <v>74</v>
      </c>
      <c r="AZ837" t="s">
        <v>74</v>
      </c>
      <c r="BA837" t="s">
        <v>74</v>
      </c>
      <c r="BB837">
        <v>2027</v>
      </c>
      <c r="BC837">
        <v>2036</v>
      </c>
      <c r="BD837" t="s">
        <v>74</v>
      </c>
      <c r="BE837" t="s">
        <v>12000</v>
      </c>
      <c r="BF837" t="str">
        <f>HYPERLINK("http://dx.doi.org/10.1046/j.0016-8025.2003.01120.x","http://dx.doi.org/10.1046/j.0016-8025.2003.01120.x")</f>
        <v>http://dx.doi.org/10.1046/j.0016-8025.2003.01120.x</v>
      </c>
      <c r="BG837" t="s">
        <v>74</v>
      </c>
      <c r="BH837" t="s">
        <v>74</v>
      </c>
      <c r="BI837">
        <v>10</v>
      </c>
      <c r="BJ837" t="s">
        <v>1903</v>
      </c>
      <c r="BK837" t="s">
        <v>96</v>
      </c>
      <c r="BL837" t="s">
        <v>1903</v>
      </c>
      <c r="BM837" t="s">
        <v>12001</v>
      </c>
      <c r="BN837" t="s">
        <v>74</v>
      </c>
      <c r="BO837" t="s">
        <v>479</v>
      </c>
      <c r="BP837" t="s">
        <v>74</v>
      </c>
      <c r="BQ837" t="s">
        <v>74</v>
      </c>
      <c r="BR837" t="s">
        <v>99</v>
      </c>
      <c r="BS837" t="s">
        <v>12002</v>
      </c>
      <c r="BT837" t="str">
        <f>HYPERLINK("https%3A%2F%2Fwww.webofscience.com%2Fwos%2Fwoscc%2Ffull-record%2FWOS:000186973900010","View Full Record in Web of Science")</f>
        <v>View Full Record in Web of Science</v>
      </c>
    </row>
    <row r="838" spans="1:72" x14ac:dyDescent="0.15">
      <c r="A838" t="s">
        <v>72</v>
      </c>
      <c r="B838" t="s">
        <v>12003</v>
      </c>
      <c r="C838" t="s">
        <v>74</v>
      </c>
      <c r="D838" t="s">
        <v>74</v>
      </c>
      <c r="E838" t="s">
        <v>74</v>
      </c>
      <c r="F838" t="s">
        <v>12003</v>
      </c>
      <c r="G838" t="s">
        <v>74</v>
      </c>
      <c r="H838" t="s">
        <v>74</v>
      </c>
      <c r="I838" t="s">
        <v>12004</v>
      </c>
      <c r="J838" t="s">
        <v>76</v>
      </c>
      <c r="K838" t="s">
        <v>74</v>
      </c>
      <c r="L838" t="s">
        <v>74</v>
      </c>
      <c r="M838" t="s">
        <v>77</v>
      </c>
      <c r="N838" t="s">
        <v>78</v>
      </c>
      <c r="O838" t="s">
        <v>74</v>
      </c>
      <c r="P838" t="s">
        <v>74</v>
      </c>
      <c r="Q838" t="s">
        <v>74</v>
      </c>
      <c r="R838" t="s">
        <v>74</v>
      </c>
      <c r="S838" t="s">
        <v>74</v>
      </c>
      <c r="T838" t="s">
        <v>74</v>
      </c>
      <c r="U838" t="s">
        <v>12005</v>
      </c>
      <c r="V838" t="s">
        <v>12006</v>
      </c>
      <c r="W838" t="s">
        <v>12007</v>
      </c>
      <c r="X838" t="s">
        <v>8842</v>
      </c>
      <c r="Y838" t="s">
        <v>12008</v>
      </c>
      <c r="Z838" t="s">
        <v>74</v>
      </c>
      <c r="AA838" t="s">
        <v>8428</v>
      </c>
      <c r="AB838" t="s">
        <v>12009</v>
      </c>
      <c r="AC838" t="s">
        <v>74</v>
      </c>
      <c r="AD838" t="s">
        <v>74</v>
      </c>
      <c r="AE838" t="s">
        <v>74</v>
      </c>
      <c r="AF838" t="s">
        <v>74</v>
      </c>
      <c r="AG838">
        <v>28</v>
      </c>
      <c r="AH838">
        <v>35</v>
      </c>
      <c r="AI838">
        <v>36</v>
      </c>
      <c r="AJ838">
        <v>1</v>
      </c>
      <c r="AK838">
        <v>14</v>
      </c>
      <c r="AL838" t="s">
        <v>123</v>
      </c>
      <c r="AM838" t="s">
        <v>87</v>
      </c>
      <c r="AN838" t="s">
        <v>124</v>
      </c>
      <c r="AO838" t="s">
        <v>89</v>
      </c>
      <c r="AP838" t="s">
        <v>74</v>
      </c>
      <c r="AQ838" t="s">
        <v>74</v>
      </c>
      <c r="AR838" t="s">
        <v>91</v>
      </c>
      <c r="AS838" t="s">
        <v>92</v>
      </c>
      <c r="AT838" t="s">
        <v>10978</v>
      </c>
      <c r="AU838">
        <v>2003</v>
      </c>
      <c r="AV838">
        <v>27</v>
      </c>
      <c r="AW838">
        <v>1</v>
      </c>
      <c r="AX838" t="s">
        <v>74</v>
      </c>
      <c r="AY838" t="s">
        <v>74</v>
      </c>
      <c r="AZ838" t="s">
        <v>74</v>
      </c>
      <c r="BA838" t="s">
        <v>74</v>
      </c>
      <c r="BB838">
        <v>1</v>
      </c>
      <c r="BC838">
        <v>5</v>
      </c>
      <c r="BD838" t="s">
        <v>74</v>
      </c>
      <c r="BE838" t="s">
        <v>12010</v>
      </c>
      <c r="BF838" t="str">
        <f>HYPERLINK("http://dx.doi.org/10.1007/s00300-003-0560-6","http://dx.doi.org/10.1007/s00300-003-0560-6")</f>
        <v>http://dx.doi.org/10.1007/s00300-003-0560-6</v>
      </c>
      <c r="BG838" t="s">
        <v>74</v>
      </c>
      <c r="BH838" t="s">
        <v>74</v>
      </c>
      <c r="BI838">
        <v>5</v>
      </c>
      <c r="BJ838" t="s">
        <v>95</v>
      </c>
      <c r="BK838" t="s">
        <v>96</v>
      </c>
      <c r="BL838" t="s">
        <v>97</v>
      </c>
      <c r="BM838" t="s">
        <v>12011</v>
      </c>
      <c r="BN838" t="s">
        <v>74</v>
      </c>
      <c r="BO838" t="s">
        <v>74</v>
      </c>
      <c r="BP838" t="s">
        <v>74</v>
      </c>
      <c r="BQ838" t="s">
        <v>74</v>
      </c>
      <c r="BR838" t="s">
        <v>99</v>
      </c>
      <c r="BS838" t="s">
        <v>12012</v>
      </c>
      <c r="BT838" t="str">
        <f>HYPERLINK("https%3A%2F%2Fwww.webofscience.com%2Fwos%2Fwoscc%2Ffull-record%2FWOS:000187129400001","View Full Record in Web of Science")</f>
        <v>View Full Record in Web of Science</v>
      </c>
    </row>
    <row r="839" spans="1:72" x14ac:dyDescent="0.15">
      <c r="A839" t="s">
        <v>72</v>
      </c>
      <c r="B839" t="s">
        <v>12013</v>
      </c>
      <c r="C839" t="s">
        <v>74</v>
      </c>
      <c r="D839" t="s">
        <v>74</v>
      </c>
      <c r="E839" t="s">
        <v>74</v>
      </c>
      <c r="F839" t="s">
        <v>12013</v>
      </c>
      <c r="G839" t="s">
        <v>74</v>
      </c>
      <c r="H839" t="s">
        <v>74</v>
      </c>
      <c r="I839" t="s">
        <v>12014</v>
      </c>
      <c r="J839" t="s">
        <v>76</v>
      </c>
      <c r="K839" t="s">
        <v>74</v>
      </c>
      <c r="L839" t="s">
        <v>74</v>
      </c>
      <c r="M839" t="s">
        <v>77</v>
      </c>
      <c r="N839" t="s">
        <v>78</v>
      </c>
      <c r="O839" t="s">
        <v>74</v>
      </c>
      <c r="P839" t="s">
        <v>74</v>
      </c>
      <c r="Q839" t="s">
        <v>74</v>
      </c>
      <c r="R839" t="s">
        <v>74</v>
      </c>
      <c r="S839" t="s">
        <v>74</v>
      </c>
      <c r="T839" t="s">
        <v>74</v>
      </c>
      <c r="U839" t="s">
        <v>12015</v>
      </c>
      <c r="V839" t="s">
        <v>12016</v>
      </c>
      <c r="W839" t="s">
        <v>12017</v>
      </c>
      <c r="X839" t="s">
        <v>12018</v>
      </c>
      <c r="Y839" t="s">
        <v>12019</v>
      </c>
      <c r="Z839" t="s">
        <v>12020</v>
      </c>
      <c r="AA839" t="s">
        <v>74</v>
      </c>
      <c r="AB839" t="s">
        <v>74</v>
      </c>
      <c r="AC839" t="s">
        <v>74</v>
      </c>
      <c r="AD839" t="s">
        <v>74</v>
      </c>
      <c r="AE839" t="s">
        <v>74</v>
      </c>
      <c r="AF839" t="s">
        <v>74</v>
      </c>
      <c r="AG839">
        <v>61</v>
      </c>
      <c r="AH839">
        <v>12</v>
      </c>
      <c r="AI839">
        <v>13</v>
      </c>
      <c r="AJ839">
        <v>0</v>
      </c>
      <c r="AK839">
        <v>4</v>
      </c>
      <c r="AL839" t="s">
        <v>86</v>
      </c>
      <c r="AM839" t="s">
        <v>87</v>
      </c>
      <c r="AN839" t="s">
        <v>88</v>
      </c>
      <c r="AO839" t="s">
        <v>89</v>
      </c>
      <c r="AP839" t="s">
        <v>90</v>
      </c>
      <c r="AQ839" t="s">
        <v>74</v>
      </c>
      <c r="AR839" t="s">
        <v>91</v>
      </c>
      <c r="AS839" t="s">
        <v>92</v>
      </c>
      <c r="AT839" t="s">
        <v>10978</v>
      </c>
      <c r="AU839">
        <v>2003</v>
      </c>
      <c r="AV839">
        <v>27</v>
      </c>
      <c r="AW839">
        <v>1</v>
      </c>
      <c r="AX839" t="s">
        <v>74</v>
      </c>
      <c r="AY839" t="s">
        <v>74</v>
      </c>
      <c r="AZ839" t="s">
        <v>74</v>
      </c>
      <c r="BA839" t="s">
        <v>74</v>
      </c>
      <c r="BB839">
        <v>17</v>
      </c>
      <c r="BC839">
        <v>28</v>
      </c>
      <c r="BD839" t="s">
        <v>74</v>
      </c>
      <c r="BE839" t="s">
        <v>12021</v>
      </c>
      <c r="BF839" t="str">
        <f>HYPERLINK("http://dx.doi.org/10.1007/s00300-003-0564-2","http://dx.doi.org/10.1007/s00300-003-0564-2")</f>
        <v>http://dx.doi.org/10.1007/s00300-003-0564-2</v>
      </c>
      <c r="BG839" t="s">
        <v>74</v>
      </c>
      <c r="BH839" t="s">
        <v>74</v>
      </c>
      <c r="BI839">
        <v>12</v>
      </c>
      <c r="BJ839" t="s">
        <v>95</v>
      </c>
      <c r="BK839" t="s">
        <v>96</v>
      </c>
      <c r="BL839" t="s">
        <v>97</v>
      </c>
      <c r="BM839" t="s">
        <v>12011</v>
      </c>
      <c r="BN839" t="s">
        <v>74</v>
      </c>
      <c r="BO839" t="s">
        <v>74</v>
      </c>
      <c r="BP839" t="s">
        <v>74</v>
      </c>
      <c r="BQ839" t="s">
        <v>74</v>
      </c>
      <c r="BR839" t="s">
        <v>99</v>
      </c>
      <c r="BS839" t="s">
        <v>12022</v>
      </c>
      <c r="BT839" t="str">
        <f>HYPERLINK("https%3A%2F%2Fwww.webofscience.com%2Fwos%2Fwoscc%2Ffull-record%2FWOS:000187129400003","View Full Record in Web of Science")</f>
        <v>View Full Record in Web of Science</v>
      </c>
    </row>
    <row r="840" spans="1:72" x14ac:dyDescent="0.15">
      <c r="A840" t="s">
        <v>72</v>
      </c>
      <c r="B840" t="s">
        <v>12023</v>
      </c>
      <c r="C840" t="s">
        <v>74</v>
      </c>
      <c r="D840" t="s">
        <v>74</v>
      </c>
      <c r="E840" t="s">
        <v>74</v>
      </c>
      <c r="F840" t="s">
        <v>12023</v>
      </c>
      <c r="G840" t="s">
        <v>74</v>
      </c>
      <c r="H840" t="s">
        <v>74</v>
      </c>
      <c r="I840" t="s">
        <v>12024</v>
      </c>
      <c r="J840" t="s">
        <v>76</v>
      </c>
      <c r="K840" t="s">
        <v>74</v>
      </c>
      <c r="L840" t="s">
        <v>74</v>
      </c>
      <c r="M840" t="s">
        <v>77</v>
      </c>
      <c r="N840" t="s">
        <v>78</v>
      </c>
      <c r="O840" t="s">
        <v>74</v>
      </c>
      <c r="P840" t="s">
        <v>74</v>
      </c>
      <c r="Q840" t="s">
        <v>74</v>
      </c>
      <c r="R840" t="s">
        <v>74</v>
      </c>
      <c r="S840" t="s">
        <v>74</v>
      </c>
      <c r="T840" t="s">
        <v>74</v>
      </c>
      <c r="U840" t="s">
        <v>12025</v>
      </c>
      <c r="V840" t="s">
        <v>12026</v>
      </c>
      <c r="W840" t="s">
        <v>12027</v>
      </c>
      <c r="X840" t="s">
        <v>12028</v>
      </c>
      <c r="Y840" t="s">
        <v>12029</v>
      </c>
      <c r="Z840" t="s">
        <v>74</v>
      </c>
      <c r="AA840" t="s">
        <v>12030</v>
      </c>
      <c r="AB840" t="s">
        <v>12031</v>
      </c>
      <c r="AC840" t="s">
        <v>74</v>
      </c>
      <c r="AD840" t="s">
        <v>74</v>
      </c>
      <c r="AE840" t="s">
        <v>74</v>
      </c>
      <c r="AF840" t="s">
        <v>74</v>
      </c>
      <c r="AG840">
        <v>65</v>
      </c>
      <c r="AH840">
        <v>4</v>
      </c>
      <c r="AI840">
        <v>6</v>
      </c>
      <c r="AJ840">
        <v>0</v>
      </c>
      <c r="AK840">
        <v>8</v>
      </c>
      <c r="AL840" t="s">
        <v>123</v>
      </c>
      <c r="AM840" t="s">
        <v>87</v>
      </c>
      <c r="AN840" t="s">
        <v>124</v>
      </c>
      <c r="AO840" t="s">
        <v>89</v>
      </c>
      <c r="AP840" t="s">
        <v>74</v>
      </c>
      <c r="AQ840" t="s">
        <v>74</v>
      </c>
      <c r="AR840" t="s">
        <v>91</v>
      </c>
      <c r="AS840" t="s">
        <v>92</v>
      </c>
      <c r="AT840" t="s">
        <v>10978</v>
      </c>
      <c r="AU840">
        <v>2003</v>
      </c>
      <c r="AV840">
        <v>27</v>
      </c>
      <c r="AW840">
        <v>1</v>
      </c>
      <c r="AX840" t="s">
        <v>74</v>
      </c>
      <c r="AY840" t="s">
        <v>74</v>
      </c>
      <c r="AZ840" t="s">
        <v>74</v>
      </c>
      <c r="BA840" t="s">
        <v>74</v>
      </c>
      <c r="BB840">
        <v>38</v>
      </c>
      <c r="BC840">
        <v>49</v>
      </c>
      <c r="BD840" t="s">
        <v>74</v>
      </c>
      <c r="BE840" t="s">
        <v>12032</v>
      </c>
      <c r="BF840" t="str">
        <f>HYPERLINK("http://dx.doi.org/10.1007/s00300-003-0546-4","http://dx.doi.org/10.1007/s00300-003-0546-4")</f>
        <v>http://dx.doi.org/10.1007/s00300-003-0546-4</v>
      </c>
      <c r="BG840" t="s">
        <v>74</v>
      </c>
      <c r="BH840" t="s">
        <v>74</v>
      </c>
      <c r="BI840">
        <v>12</v>
      </c>
      <c r="BJ840" t="s">
        <v>95</v>
      </c>
      <c r="BK840" t="s">
        <v>96</v>
      </c>
      <c r="BL840" t="s">
        <v>97</v>
      </c>
      <c r="BM840" t="s">
        <v>12011</v>
      </c>
      <c r="BN840" t="s">
        <v>74</v>
      </c>
      <c r="BO840" t="s">
        <v>74</v>
      </c>
      <c r="BP840" t="s">
        <v>74</v>
      </c>
      <c r="BQ840" t="s">
        <v>74</v>
      </c>
      <c r="BR840" t="s">
        <v>99</v>
      </c>
      <c r="BS840" t="s">
        <v>12033</v>
      </c>
      <c r="BT840" t="str">
        <f>HYPERLINK("https%3A%2F%2Fwww.webofscience.com%2Fwos%2Fwoscc%2Ffull-record%2FWOS:000187129400005","View Full Record in Web of Science")</f>
        <v>View Full Record in Web of Science</v>
      </c>
    </row>
    <row r="841" spans="1:72" x14ac:dyDescent="0.15">
      <c r="A841" t="s">
        <v>72</v>
      </c>
      <c r="B841" t="s">
        <v>12034</v>
      </c>
      <c r="C841" t="s">
        <v>74</v>
      </c>
      <c r="D841" t="s">
        <v>74</v>
      </c>
      <c r="E841" t="s">
        <v>74</v>
      </c>
      <c r="F841" t="s">
        <v>12034</v>
      </c>
      <c r="G841" t="s">
        <v>74</v>
      </c>
      <c r="H841" t="s">
        <v>74</v>
      </c>
      <c r="I841" t="s">
        <v>12035</v>
      </c>
      <c r="J841" t="s">
        <v>76</v>
      </c>
      <c r="K841" t="s">
        <v>74</v>
      </c>
      <c r="L841" t="s">
        <v>74</v>
      </c>
      <c r="M841" t="s">
        <v>77</v>
      </c>
      <c r="N841" t="s">
        <v>78</v>
      </c>
      <c r="O841" t="s">
        <v>74</v>
      </c>
      <c r="P841" t="s">
        <v>74</v>
      </c>
      <c r="Q841" t="s">
        <v>74</v>
      </c>
      <c r="R841" t="s">
        <v>74</v>
      </c>
      <c r="S841" t="s">
        <v>74</v>
      </c>
      <c r="T841" t="s">
        <v>74</v>
      </c>
      <c r="U841" t="s">
        <v>12036</v>
      </c>
      <c r="V841" t="s">
        <v>12037</v>
      </c>
      <c r="W841" t="s">
        <v>12038</v>
      </c>
      <c r="X841" t="s">
        <v>12039</v>
      </c>
      <c r="Y841" t="s">
        <v>9516</v>
      </c>
      <c r="Z841" t="s">
        <v>74</v>
      </c>
      <c r="AA841" t="s">
        <v>74</v>
      </c>
      <c r="AB841" t="s">
        <v>74</v>
      </c>
      <c r="AC841" t="s">
        <v>74</v>
      </c>
      <c r="AD841" t="s">
        <v>74</v>
      </c>
      <c r="AE841" t="s">
        <v>74</v>
      </c>
      <c r="AF841" t="s">
        <v>74</v>
      </c>
      <c r="AG841">
        <v>28</v>
      </c>
      <c r="AH841">
        <v>28</v>
      </c>
      <c r="AI841">
        <v>34</v>
      </c>
      <c r="AJ841">
        <v>0</v>
      </c>
      <c r="AK841">
        <v>9</v>
      </c>
      <c r="AL841" t="s">
        <v>123</v>
      </c>
      <c r="AM841" t="s">
        <v>87</v>
      </c>
      <c r="AN841" t="s">
        <v>124</v>
      </c>
      <c r="AO841" t="s">
        <v>89</v>
      </c>
      <c r="AP841" t="s">
        <v>74</v>
      </c>
      <c r="AQ841" t="s">
        <v>74</v>
      </c>
      <c r="AR841" t="s">
        <v>91</v>
      </c>
      <c r="AS841" t="s">
        <v>92</v>
      </c>
      <c r="AT841" t="s">
        <v>10978</v>
      </c>
      <c r="AU841">
        <v>2003</v>
      </c>
      <c r="AV841">
        <v>26</v>
      </c>
      <c r="AW841">
        <v>12</v>
      </c>
      <c r="AX841" t="s">
        <v>74</v>
      </c>
      <c r="AY841" t="s">
        <v>74</v>
      </c>
      <c r="AZ841" t="s">
        <v>74</v>
      </c>
      <c r="BA841" t="s">
        <v>74</v>
      </c>
      <c r="BB841">
        <v>753</v>
      </c>
      <c r="BC841">
        <v>758</v>
      </c>
      <c r="BD841" t="s">
        <v>74</v>
      </c>
      <c r="BE841" t="s">
        <v>12040</v>
      </c>
      <c r="BF841" t="str">
        <f>HYPERLINK("http://dx.doi.org/10.1007/s00300-003-0554-4","http://dx.doi.org/10.1007/s00300-003-0554-4")</f>
        <v>http://dx.doi.org/10.1007/s00300-003-0554-4</v>
      </c>
      <c r="BG841" t="s">
        <v>74</v>
      </c>
      <c r="BH841" t="s">
        <v>74</v>
      </c>
      <c r="BI841">
        <v>6</v>
      </c>
      <c r="BJ841" t="s">
        <v>95</v>
      </c>
      <c r="BK841" t="s">
        <v>96</v>
      </c>
      <c r="BL841" t="s">
        <v>97</v>
      </c>
      <c r="BM841" t="s">
        <v>12041</v>
      </c>
      <c r="BN841" t="s">
        <v>74</v>
      </c>
      <c r="BO841" t="s">
        <v>479</v>
      </c>
      <c r="BP841" t="s">
        <v>74</v>
      </c>
      <c r="BQ841" t="s">
        <v>74</v>
      </c>
      <c r="BR841" t="s">
        <v>99</v>
      </c>
      <c r="BS841" t="s">
        <v>12042</v>
      </c>
      <c r="BT841" t="str">
        <f>HYPERLINK("https%3A%2F%2Fwww.webofscience.com%2Fwos%2Fwoscc%2Ffull-record%2FWOS:000186830700001","View Full Record in Web of Science")</f>
        <v>View Full Record in Web of Science</v>
      </c>
    </row>
    <row r="842" spans="1:72" x14ac:dyDescent="0.15">
      <c r="A842" t="s">
        <v>72</v>
      </c>
      <c r="B842" t="s">
        <v>12043</v>
      </c>
      <c r="C842" t="s">
        <v>74</v>
      </c>
      <c r="D842" t="s">
        <v>74</v>
      </c>
      <c r="E842" t="s">
        <v>74</v>
      </c>
      <c r="F842" t="s">
        <v>12043</v>
      </c>
      <c r="G842" t="s">
        <v>74</v>
      </c>
      <c r="H842" t="s">
        <v>74</v>
      </c>
      <c r="I842" t="s">
        <v>12044</v>
      </c>
      <c r="J842" t="s">
        <v>76</v>
      </c>
      <c r="K842" t="s">
        <v>74</v>
      </c>
      <c r="L842" t="s">
        <v>74</v>
      </c>
      <c r="M842" t="s">
        <v>77</v>
      </c>
      <c r="N842" t="s">
        <v>78</v>
      </c>
      <c r="O842" t="s">
        <v>74</v>
      </c>
      <c r="P842" t="s">
        <v>74</v>
      </c>
      <c r="Q842" t="s">
        <v>74</v>
      </c>
      <c r="R842" t="s">
        <v>74</v>
      </c>
      <c r="S842" t="s">
        <v>74</v>
      </c>
      <c r="T842" t="s">
        <v>74</v>
      </c>
      <c r="U842" t="s">
        <v>12045</v>
      </c>
      <c r="V842" t="s">
        <v>12046</v>
      </c>
      <c r="W842" t="s">
        <v>12047</v>
      </c>
      <c r="X842" t="s">
        <v>12048</v>
      </c>
      <c r="Y842" t="s">
        <v>12049</v>
      </c>
      <c r="Z842" t="s">
        <v>74</v>
      </c>
      <c r="AA842" t="s">
        <v>12050</v>
      </c>
      <c r="AB842" t="s">
        <v>12051</v>
      </c>
      <c r="AC842" t="s">
        <v>74</v>
      </c>
      <c r="AD842" t="s">
        <v>74</v>
      </c>
      <c r="AE842" t="s">
        <v>74</v>
      </c>
      <c r="AF842" t="s">
        <v>74</v>
      </c>
      <c r="AG842">
        <v>56</v>
      </c>
      <c r="AH842">
        <v>42</v>
      </c>
      <c r="AI842">
        <v>58</v>
      </c>
      <c r="AJ842">
        <v>1</v>
      </c>
      <c r="AK842">
        <v>35</v>
      </c>
      <c r="AL842" t="s">
        <v>123</v>
      </c>
      <c r="AM842" t="s">
        <v>87</v>
      </c>
      <c r="AN842" t="s">
        <v>124</v>
      </c>
      <c r="AO842" t="s">
        <v>89</v>
      </c>
      <c r="AP842" t="s">
        <v>74</v>
      </c>
      <c r="AQ842" t="s">
        <v>74</v>
      </c>
      <c r="AR842" t="s">
        <v>91</v>
      </c>
      <c r="AS842" t="s">
        <v>92</v>
      </c>
      <c r="AT842" t="s">
        <v>10978</v>
      </c>
      <c r="AU842">
        <v>2003</v>
      </c>
      <c r="AV842">
        <v>26</v>
      </c>
      <c r="AW842">
        <v>12</v>
      </c>
      <c r="AX842" t="s">
        <v>74</v>
      </c>
      <c r="AY842" t="s">
        <v>74</v>
      </c>
      <c r="AZ842" t="s">
        <v>74</v>
      </c>
      <c r="BA842" t="s">
        <v>74</v>
      </c>
      <c r="BB842">
        <v>759</v>
      </c>
      <c r="BC842">
        <v>767</v>
      </c>
      <c r="BD842" t="s">
        <v>74</v>
      </c>
      <c r="BE842" t="s">
        <v>12052</v>
      </c>
      <c r="BF842" t="str">
        <f>HYPERLINK("http://dx.doi.org/10.1007/s00300-003-0552-6","http://dx.doi.org/10.1007/s00300-003-0552-6")</f>
        <v>http://dx.doi.org/10.1007/s00300-003-0552-6</v>
      </c>
      <c r="BG842" t="s">
        <v>74</v>
      </c>
      <c r="BH842" t="s">
        <v>74</v>
      </c>
      <c r="BI842">
        <v>9</v>
      </c>
      <c r="BJ842" t="s">
        <v>95</v>
      </c>
      <c r="BK842" t="s">
        <v>96</v>
      </c>
      <c r="BL842" t="s">
        <v>97</v>
      </c>
      <c r="BM842" t="s">
        <v>12041</v>
      </c>
      <c r="BN842" t="s">
        <v>74</v>
      </c>
      <c r="BO842" t="s">
        <v>156</v>
      </c>
      <c r="BP842" t="s">
        <v>74</v>
      </c>
      <c r="BQ842" t="s">
        <v>74</v>
      </c>
      <c r="BR842" t="s">
        <v>99</v>
      </c>
      <c r="BS842" t="s">
        <v>12053</v>
      </c>
      <c r="BT842" t="str">
        <f>HYPERLINK("https%3A%2F%2Fwww.webofscience.com%2Fwos%2Fwoscc%2Ffull-record%2FWOS:000186830700002","View Full Record in Web of Science")</f>
        <v>View Full Record in Web of Science</v>
      </c>
    </row>
    <row r="843" spans="1:72" x14ac:dyDescent="0.15">
      <c r="A843" t="s">
        <v>72</v>
      </c>
      <c r="B843" t="s">
        <v>12054</v>
      </c>
      <c r="C843" t="s">
        <v>74</v>
      </c>
      <c r="D843" t="s">
        <v>74</v>
      </c>
      <c r="E843" t="s">
        <v>74</v>
      </c>
      <c r="F843" t="s">
        <v>12054</v>
      </c>
      <c r="G843" t="s">
        <v>74</v>
      </c>
      <c r="H843" t="s">
        <v>74</v>
      </c>
      <c r="I843" t="s">
        <v>12055</v>
      </c>
      <c r="J843" t="s">
        <v>76</v>
      </c>
      <c r="K843" t="s">
        <v>74</v>
      </c>
      <c r="L843" t="s">
        <v>74</v>
      </c>
      <c r="M843" t="s">
        <v>77</v>
      </c>
      <c r="N843" t="s">
        <v>78</v>
      </c>
      <c r="O843" t="s">
        <v>74</v>
      </c>
      <c r="P843" t="s">
        <v>74</v>
      </c>
      <c r="Q843" t="s">
        <v>74</v>
      </c>
      <c r="R843" t="s">
        <v>74</v>
      </c>
      <c r="S843" t="s">
        <v>74</v>
      </c>
      <c r="T843" t="s">
        <v>74</v>
      </c>
      <c r="U843" t="s">
        <v>12056</v>
      </c>
      <c r="V843" t="s">
        <v>12057</v>
      </c>
      <c r="W843" t="s">
        <v>12058</v>
      </c>
      <c r="X843" t="s">
        <v>2153</v>
      </c>
      <c r="Y843" t="s">
        <v>12059</v>
      </c>
      <c r="Z843" t="s">
        <v>12060</v>
      </c>
      <c r="AA843" t="s">
        <v>74</v>
      </c>
      <c r="AB843" t="s">
        <v>12061</v>
      </c>
      <c r="AC843" t="s">
        <v>74</v>
      </c>
      <c r="AD843" t="s">
        <v>74</v>
      </c>
      <c r="AE843" t="s">
        <v>74</v>
      </c>
      <c r="AF843" t="s">
        <v>74</v>
      </c>
      <c r="AG843">
        <v>43</v>
      </c>
      <c r="AH843">
        <v>52</v>
      </c>
      <c r="AI843">
        <v>58</v>
      </c>
      <c r="AJ843">
        <v>0</v>
      </c>
      <c r="AK843">
        <v>17</v>
      </c>
      <c r="AL843" t="s">
        <v>86</v>
      </c>
      <c r="AM843" t="s">
        <v>87</v>
      </c>
      <c r="AN843" t="s">
        <v>88</v>
      </c>
      <c r="AO843" t="s">
        <v>89</v>
      </c>
      <c r="AP843" t="s">
        <v>90</v>
      </c>
      <c r="AQ843" t="s">
        <v>74</v>
      </c>
      <c r="AR843" t="s">
        <v>91</v>
      </c>
      <c r="AS843" t="s">
        <v>92</v>
      </c>
      <c r="AT843" t="s">
        <v>10978</v>
      </c>
      <c r="AU843">
        <v>2003</v>
      </c>
      <c r="AV843">
        <v>26</v>
      </c>
      <c r="AW843">
        <v>12</v>
      </c>
      <c r="AX843" t="s">
        <v>74</v>
      </c>
      <c r="AY843" t="s">
        <v>74</v>
      </c>
      <c r="AZ843" t="s">
        <v>74</v>
      </c>
      <c r="BA843" t="s">
        <v>74</v>
      </c>
      <c r="BB843">
        <v>774</v>
      </c>
      <c r="BC843">
        <v>782</v>
      </c>
      <c r="BD843" t="s">
        <v>74</v>
      </c>
      <c r="BE843" t="s">
        <v>12062</v>
      </c>
      <c r="BF843" t="str">
        <f>HYPERLINK("http://dx.doi.org/10.1007/s00300-003-0550-8","http://dx.doi.org/10.1007/s00300-003-0550-8")</f>
        <v>http://dx.doi.org/10.1007/s00300-003-0550-8</v>
      </c>
      <c r="BG843" t="s">
        <v>74</v>
      </c>
      <c r="BH843" t="s">
        <v>74</v>
      </c>
      <c r="BI843">
        <v>9</v>
      </c>
      <c r="BJ843" t="s">
        <v>95</v>
      </c>
      <c r="BK843" t="s">
        <v>96</v>
      </c>
      <c r="BL843" t="s">
        <v>97</v>
      </c>
      <c r="BM843" t="s">
        <v>12041</v>
      </c>
      <c r="BN843" t="s">
        <v>74</v>
      </c>
      <c r="BO843" t="s">
        <v>74</v>
      </c>
      <c r="BP843" t="s">
        <v>74</v>
      </c>
      <c r="BQ843" t="s">
        <v>74</v>
      </c>
      <c r="BR843" t="s">
        <v>99</v>
      </c>
      <c r="BS843" t="s">
        <v>12063</v>
      </c>
      <c r="BT843" t="str">
        <f>HYPERLINK("https%3A%2F%2Fwww.webofscience.com%2Fwos%2Fwoscc%2Ffull-record%2FWOS:000186830700004","View Full Record in Web of Science")</f>
        <v>View Full Record in Web of Science</v>
      </c>
    </row>
    <row r="844" spans="1:72" x14ac:dyDescent="0.15">
      <c r="A844" t="s">
        <v>72</v>
      </c>
      <c r="B844" t="s">
        <v>12064</v>
      </c>
      <c r="C844" t="s">
        <v>74</v>
      </c>
      <c r="D844" t="s">
        <v>74</v>
      </c>
      <c r="E844" t="s">
        <v>74</v>
      </c>
      <c r="F844" t="s">
        <v>12064</v>
      </c>
      <c r="G844" t="s">
        <v>74</v>
      </c>
      <c r="H844" t="s">
        <v>74</v>
      </c>
      <c r="I844" t="s">
        <v>12065</v>
      </c>
      <c r="J844" t="s">
        <v>76</v>
      </c>
      <c r="K844" t="s">
        <v>74</v>
      </c>
      <c r="L844" t="s">
        <v>74</v>
      </c>
      <c r="M844" t="s">
        <v>77</v>
      </c>
      <c r="N844" t="s">
        <v>78</v>
      </c>
      <c r="O844" t="s">
        <v>74</v>
      </c>
      <c r="P844" t="s">
        <v>74</v>
      </c>
      <c r="Q844" t="s">
        <v>74</v>
      </c>
      <c r="R844" t="s">
        <v>74</v>
      </c>
      <c r="S844" t="s">
        <v>74</v>
      </c>
      <c r="T844" t="s">
        <v>74</v>
      </c>
      <c r="U844" t="s">
        <v>12066</v>
      </c>
      <c r="V844" t="s">
        <v>12067</v>
      </c>
      <c r="W844" t="s">
        <v>12068</v>
      </c>
      <c r="X844" t="s">
        <v>12069</v>
      </c>
      <c r="Y844" t="s">
        <v>12070</v>
      </c>
      <c r="Z844" t="s">
        <v>12071</v>
      </c>
      <c r="AA844" t="s">
        <v>12072</v>
      </c>
      <c r="AB844" t="s">
        <v>12073</v>
      </c>
      <c r="AC844" t="s">
        <v>74</v>
      </c>
      <c r="AD844" t="s">
        <v>74</v>
      </c>
      <c r="AE844" t="s">
        <v>74</v>
      </c>
      <c r="AF844" t="s">
        <v>74</v>
      </c>
      <c r="AG844">
        <v>29</v>
      </c>
      <c r="AH844">
        <v>29</v>
      </c>
      <c r="AI844">
        <v>45</v>
      </c>
      <c r="AJ844">
        <v>1</v>
      </c>
      <c r="AK844">
        <v>32</v>
      </c>
      <c r="AL844" t="s">
        <v>86</v>
      </c>
      <c r="AM844" t="s">
        <v>87</v>
      </c>
      <c r="AN844" t="s">
        <v>2007</v>
      </c>
      <c r="AO844" t="s">
        <v>89</v>
      </c>
      <c r="AP844" t="s">
        <v>90</v>
      </c>
      <c r="AQ844" t="s">
        <v>74</v>
      </c>
      <c r="AR844" t="s">
        <v>91</v>
      </c>
      <c r="AS844" t="s">
        <v>92</v>
      </c>
      <c r="AT844" t="s">
        <v>10978</v>
      </c>
      <c r="AU844">
        <v>2003</v>
      </c>
      <c r="AV844">
        <v>26</v>
      </c>
      <c r="AW844">
        <v>12</v>
      </c>
      <c r="AX844" t="s">
        <v>74</v>
      </c>
      <c r="AY844" t="s">
        <v>74</v>
      </c>
      <c r="AZ844" t="s">
        <v>74</v>
      </c>
      <c r="BA844" t="s">
        <v>74</v>
      </c>
      <c r="BB844">
        <v>783</v>
      </c>
      <c r="BC844">
        <v>788</v>
      </c>
      <c r="BD844" t="s">
        <v>74</v>
      </c>
      <c r="BE844" t="s">
        <v>12074</v>
      </c>
      <c r="BF844" t="str">
        <f>HYPERLINK("http://dx.doi.org/10.1007/s00300-003-0553-5","http://dx.doi.org/10.1007/s00300-003-0553-5")</f>
        <v>http://dx.doi.org/10.1007/s00300-003-0553-5</v>
      </c>
      <c r="BG844" t="s">
        <v>74</v>
      </c>
      <c r="BH844" t="s">
        <v>74</v>
      </c>
      <c r="BI844">
        <v>6</v>
      </c>
      <c r="BJ844" t="s">
        <v>95</v>
      </c>
      <c r="BK844" t="s">
        <v>96</v>
      </c>
      <c r="BL844" t="s">
        <v>97</v>
      </c>
      <c r="BM844" t="s">
        <v>12041</v>
      </c>
      <c r="BN844" t="s">
        <v>74</v>
      </c>
      <c r="BO844" t="s">
        <v>74</v>
      </c>
      <c r="BP844" t="s">
        <v>74</v>
      </c>
      <c r="BQ844" t="s">
        <v>74</v>
      </c>
      <c r="BR844" t="s">
        <v>99</v>
      </c>
      <c r="BS844" t="s">
        <v>12075</v>
      </c>
      <c r="BT844" t="str">
        <f>HYPERLINK("https%3A%2F%2Fwww.webofscience.com%2Fwos%2Fwoscc%2Ffull-record%2FWOS:000186830700005","View Full Record in Web of Science")</f>
        <v>View Full Record in Web of Science</v>
      </c>
    </row>
    <row r="845" spans="1:72" x14ac:dyDescent="0.15">
      <c r="A845" t="s">
        <v>72</v>
      </c>
      <c r="B845" t="s">
        <v>12076</v>
      </c>
      <c r="C845" t="s">
        <v>74</v>
      </c>
      <c r="D845" t="s">
        <v>74</v>
      </c>
      <c r="E845" t="s">
        <v>74</v>
      </c>
      <c r="F845" t="s">
        <v>12076</v>
      </c>
      <c r="G845" t="s">
        <v>74</v>
      </c>
      <c r="H845" t="s">
        <v>74</v>
      </c>
      <c r="I845" t="s">
        <v>12077</v>
      </c>
      <c r="J845" t="s">
        <v>12078</v>
      </c>
      <c r="K845" t="s">
        <v>74</v>
      </c>
      <c r="L845" t="s">
        <v>74</v>
      </c>
      <c r="M845" t="s">
        <v>77</v>
      </c>
      <c r="N845" t="s">
        <v>268</v>
      </c>
      <c r="O845" t="s">
        <v>74</v>
      </c>
      <c r="P845" t="s">
        <v>74</v>
      </c>
      <c r="Q845" t="s">
        <v>74</v>
      </c>
      <c r="R845" t="s">
        <v>74</v>
      </c>
      <c r="S845" t="s">
        <v>74</v>
      </c>
      <c r="T845" t="s">
        <v>12079</v>
      </c>
      <c r="U845" t="s">
        <v>12080</v>
      </c>
      <c r="V845" t="s">
        <v>12081</v>
      </c>
      <c r="W845" t="s">
        <v>12082</v>
      </c>
      <c r="X845" t="s">
        <v>6276</v>
      </c>
      <c r="Y845" t="s">
        <v>12083</v>
      </c>
      <c r="Z845" t="s">
        <v>12084</v>
      </c>
      <c r="AA845" t="s">
        <v>74</v>
      </c>
      <c r="AB845" t="s">
        <v>74</v>
      </c>
      <c r="AC845" t="s">
        <v>74</v>
      </c>
      <c r="AD845" t="s">
        <v>74</v>
      </c>
      <c r="AE845" t="s">
        <v>74</v>
      </c>
      <c r="AF845" t="s">
        <v>74</v>
      </c>
      <c r="AG845">
        <v>109</v>
      </c>
      <c r="AH845">
        <v>29</v>
      </c>
      <c r="AI845">
        <v>30</v>
      </c>
      <c r="AJ845">
        <v>1</v>
      </c>
      <c r="AK845">
        <v>20</v>
      </c>
      <c r="AL845" t="s">
        <v>685</v>
      </c>
      <c r="AM845" t="s">
        <v>529</v>
      </c>
      <c r="AN845" t="s">
        <v>686</v>
      </c>
      <c r="AO845" t="s">
        <v>12085</v>
      </c>
      <c r="AP845" t="s">
        <v>12086</v>
      </c>
      <c r="AQ845" t="s">
        <v>74</v>
      </c>
      <c r="AR845" t="s">
        <v>12087</v>
      </c>
      <c r="AS845" t="s">
        <v>12088</v>
      </c>
      <c r="AT845" t="s">
        <v>10978</v>
      </c>
      <c r="AU845">
        <v>2003</v>
      </c>
      <c r="AV845">
        <v>127</v>
      </c>
      <c r="AW845" t="s">
        <v>710</v>
      </c>
      <c r="AX845" t="s">
        <v>74</v>
      </c>
      <c r="AY845" t="s">
        <v>74</v>
      </c>
      <c r="AZ845" t="s">
        <v>74</v>
      </c>
      <c r="BA845" t="s">
        <v>74</v>
      </c>
      <c r="BB845">
        <v>187</v>
      </c>
      <c r="BC845">
        <v>217</v>
      </c>
      <c r="BD845" t="s">
        <v>74</v>
      </c>
      <c r="BE845" t="s">
        <v>12089</v>
      </c>
      <c r="BF845" t="str">
        <f>HYPERLINK("http://dx.doi.org/10.1016/S0034-6667(03)00120-9","http://dx.doi.org/10.1016/S0034-6667(03)00120-9")</f>
        <v>http://dx.doi.org/10.1016/S0034-6667(03)00120-9</v>
      </c>
      <c r="BG845" t="s">
        <v>74</v>
      </c>
      <c r="BH845" t="s">
        <v>74</v>
      </c>
      <c r="BI845">
        <v>31</v>
      </c>
      <c r="BJ845" t="s">
        <v>12090</v>
      </c>
      <c r="BK845" t="s">
        <v>96</v>
      </c>
      <c r="BL845" t="s">
        <v>12090</v>
      </c>
      <c r="BM845" t="s">
        <v>12091</v>
      </c>
      <c r="BN845" t="s">
        <v>74</v>
      </c>
      <c r="BO845" t="s">
        <v>74</v>
      </c>
      <c r="BP845" t="s">
        <v>74</v>
      </c>
      <c r="BQ845" t="s">
        <v>74</v>
      </c>
      <c r="BR845" t="s">
        <v>99</v>
      </c>
      <c r="BS845" t="s">
        <v>12092</v>
      </c>
      <c r="BT845" t="str">
        <f>HYPERLINK("https%3A%2F%2Fwww.webofscience.com%2Fwos%2Fwoscc%2Ffull-record%2FWOS:000187346600003","View Full Record in Web of Science")</f>
        <v>View Full Record in Web of Science</v>
      </c>
    </row>
    <row r="846" spans="1:72" x14ac:dyDescent="0.15">
      <c r="A846" t="s">
        <v>72</v>
      </c>
      <c r="B846" t="s">
        <v>12093</v>
      </c>
      <c r="C846" t="s">
        <v>74</v>
      </c>
      <c r="D846" t="s">
        <v>74</v>
      </c>
      <c r="E846" t="s">
        <v>74</v>
      </c>
      <c r="F846" t="s">
        <v>12093</v>
      </c>
      <c r="G846" t="s">
        <v>74</v>
      </c>
      <c r="H846" t="s">
        <v>74</v>
      </c>
      <c r="I846" t="s">
        <v>12094</v>
      </c>
      <c r="J846" t="s">
        <v>12095</v>
      </c>
      <c r="K846" t="s">
        <v>74</v>
      </c>
      <c r="L846" t="s">
        <v>74</v>
      </c>
      <c r="M846" t="s">
        <v>11277</v>
      </c>
      <c r="N846" t="s">
        <v>78</v>
      </c>
      <c r="O846" t="s">
        <v>74</v>
      </c>
      <c r="P846" t="s">
        <v>74</v>
      </c>
      <c r="Q846" t="s">
        <v>74</v>
      </c>
      <c r="R846" t="s">
        <v>74</v>
      </c>
      <c r="S846" t="s">
        <v>74</v>
      </c>
      <c r="T846" t="s">
        <v>12096</v>
      </c>
      <c r="U846" t="s">
        <v>12097</v>
      </c>
      <c r="V846" t="s">
        <v>12098</v>
      </c>
      <c r="W846" t="s">
        <v>12099</v>
      </c>
      <c r="X846" t="s">
        <v>12100</v>
      </c>
      <c r="Y846" t="s">
        <v>12101</v>
      </c>
      <c r="Z846" t="s">
        <v>12102</v>
      </c>
      <c r="AA846" t="s">
        <v>74</v>
      </c>
      <c r="AB846" t="s">
        <v>74</v>
      </c>
      <c r="AC846" t="s">
        <v>74</v>
      </c>
      <c r="AD846" t="s">
        <v>74</v>
      </c>
      <c r="AE846" t="s">
        <v>74</v>
      </c>
      <c r="AF846" t="s">
        <v>74</v>
      </c>
      <c r="AG846">
        <v>28</v>
      </c>
      <c r="AH846">
        <v>6</v>
      </c>
      <c r="AI846">
        <v>6</v>
      </c>
      <c r="AJ846">
        <v>0</v>
      </c>
      <c r="AK846">
        <v>5</v>
      </c>
      <c r="AL846" t="s">
        <v>12103</v>
      </c>
      <c r="AM846" t="s">
        <v>12104</v>
      </c>
      <c r="AN846" t="s">
        <v>12105</v>
      </c>
      <c r="AO846" t="s">
        <v>12106</v>
      </c>
      <c r="AP846" t="s">
        <v>74</v>
      </c>
      <c r="AQ846" t="s">
        <v>74</v>
      </c>
      <c r="AR846" t="s">
        <v>12107</v>
      </c>
      <c r="AS846" t="s">
        <v>12108</v>
      </c>
      <c r="AT846" t="s">
        <v>10978</v>
      </c>
      <c r="AU846">
        <v>2003</v>
      </c>
      <c r="AV846">
        <v>76</v>
      </c>
      <c r="AW846">
        <v>4</v>
      </c>
      <c r="AX846" t="s">
        <v>74</v>
      </c>
      <c r="AY846" t="s">
        <v>74</v>
      </c>
      <c r="AZ846" t="s">
        <v>74</v>
      </c>
      <c r="BA846" t="s">
        <v>74</v>
      </c>
      <c r="BB846">
        <v>651</v>
      </c>
      <c r="BC846">
        <v>664</v>
      </c>
      <c r="BD846" t="s">
        <v>74</v>
      </c>
      <c r="BE846" t="s">
        <v>74</v>
      </c>
      <c r="BF846" t="s">
        <v>74</v>
      </c>
      <c r="BG846" t="s">
        <v>74</v>
      </c>
      <c r="BH846" t="s">
        <v>74</v>
      </c>
      <c r="BI846">
        <v>14</v>
      </c>
      <c r="BJ846" t="s">
        <v>95</v>
      </c>
      <c r="BK846" t="s">
        <v>96</v>
      </c>
      <c r="BL846" t="s">
        <v>97</v>
      </c>
      <c r="BM846" t="s">
        <v>12109</v>
      </c>
      <c r="BN846" t="s">
        <v>74</v>
      </c>
      <c r="BO846" t="s">
        <v>74</v>
      </c>
      <c r="BP846" t="s">
        <v>74</v>
      </c>
      <c r="BQ846" t="s">
        <v>74</v>
      </c>
      <c r="BR846" t="s">
        <v>99</v>
      </c>
      <c r="BS846" t="s">
        <v>12110</v>
      </c>
      <c r="BT846" t="str">
        <f>HYPERLINK("https%3A%2F%2Fwww.webofscience.com%2Fwos%2Fwoscc%2Ffull-record%2FWOS:000187798500009","View Full Record in Web of Science")</f>
        <v>View Full Record in Web of Science</v>
      </c>
    </row>
    <row r="847" spans="1:72" x14ac:dyDescent="0.15">
      <c r="A847" t="s">
        <v>72</v>
      </c>
      <c r="B847" t="s">
        <v>12111</v>
      </c>
      <c r="C847" t="s">
        <v>74</v>
      </c>
      <c r="D847" t="s">
        <v>74</v>
      </c>
      <c r="E847" t="s">
        <v>74</v>
      </c>
      <c r="F847" t="s">
        <v>12111</v>
      </c>
      <c r="G847" t="s">
        <v>74</v>
      </c>
      <c r="H847" t="s">
        <v>74</v>
      </c>
      <c r="I847" t="s">
        <v>12112</v>
      </c>
      <c r="J847" t="s">
        <v>12113</v>
      </c>
      <c r="K847" t="s">
        <v>74</v>
      </c>
      <c r="L847" t="s">
        <v>74</v>
      </c>
      <c r="M847" t="s">
        <v>77</v>
      </c>
      <c r="N847" t="s">
        <v>78</v>
      </c>
      <c r="O847" t="s">
        <v>74</v>
      </c>
      <c r="P847" t="s">
        <v>74</v>
      </c>
      <c r="Q847" t="s">
        <v>74</v>
      </c>
      <c r="R847" t="s">
        <v>74</v>
      </c>
      <c r="S847" t="s">
        <v>74</v>
      </c>
      <c r="T847" t="s">
        <v>12114</v>
      </c>
      <c r="U847" t="s">
        <v>12115</v>
      </c>
      <c r="V847" t="s">
        <v>12116</v>
      </c>
      <c r="W847" t="s">
        <v>12117</v>
      </c>
      <c r="X847" t="s">
        <v>12118</v>
      </c>
      <c r="Y847" t="s">
        <v>12119</v>
      </c>
      <c r="Z847" t="s">
        <v>12120</v>
      </c>
      <c r="AA847" t="s">
        <v>12121</v>
      </c>
      <c r="AB847" t="s">
        <v>74</v>
      </c>
      <c r="AC847" t="s">
        <v>74</v>
      </c>
      <c r="AD847" t="s">
        <v>74</v>
      </c>
      <c r="AE847" t="s">
        <v>74</v>
      </c>
      <c r="AF847" t="s">
        <v>74</v>
      </c>
      <c r="AG847">
        <v>13</v>
      </c>
      <c r="AH847">
        <v>0</v>
      </c>
      <c r="AI847">
        <v>7</v>
      </c>
      <c r="AJ847">
        <v>0</v>
      </c>
      <c r="AK847">
        <v>3</v>
      </c>
      <c r="AL847" t="s">
        <v>906</v>
      </c>
      <c r="AM847" t="s">
        <v>907</v>
      </c>
      <c r="AN847" t="s">
        <v>908</v>
      </c>
      <c r="AO847" t="s">
        <v>12122</v>
      </c>
      <c r="AP847" t="s">
        <v>74</v>
      </c>
      <c r="AQ847" t="s">
        <v>74</v>
      </c>
      <c r="AR847" t="s">
        <v>12123</v>
      </c>
      <c r="AS847" t="s">
        <v>12124</v>
      </c>
      <c r="AT847" t="s">
        <v>10978</v>
      </c>
      <c r="AU847">
        <v>2003</v>
      </c>
      <c r="AV847">
        <v>46</v>
      </c>
      <c r="AW847">
        <v>12</v>
      </c>
      <c r="AX847" t="s">
        <v>74</v>
      </c>
      <c r="AY847" t="s">
        <v>74</v>
      </c>
      <c r="AZ847" t="s">
        <v>74</v>
      </c>
      <c r="BA847" t="s">
        <v>74</v>
      </c>
      <c r="BB847">
        <v>1236</v>
      </c>
      <c r="BC847">
        <v>1240</v>
      </c>
      <c r="BD847" t="s">
        <v>74</v>
      </c>
      <c r="BE847" t="s">
        <v>12125</v>
      </c>
      <c r="BF847" t="str">
        <f>HYPERLINK("http://dx.doi.org/10.1360/03yd0060","http://dx.doi.org/10.1360/03yd0060")</f>
        <v>http://dx.doi.org/10.1360/03yd0060</v>
      </c>
      <c r="BG847" t="s">
        <v>74</v>
      </c>
      <c r="BH847" t="s">
        <v>74</v>
      </c>
      <c r="BI847">
        <v>5</v>
      </c>
      <c r="BJ847" t="s">
        <v>560</v>
      </c>
      <c r="BK847" t="s">
        <v>96</v>
      </c>
      <c r="BL847" t="s">
        <v>561</v>
      </c>
      <c r="BM847" t="s">
        <v>12126</v>
      </c>
      <c r="BN847" t="s">
        <v>74</v>
      </c>
      <c r="BO847" t="s">
        <v>74</v>
      </c>
      <c r="BP847" t="s">
        <v>74</v>
      </c>
      <c r="BQ847" t="s">
        <v>74</v>
      </c>
      <c r="BR847" t="s">
        <v>99</v>
      </c>
      <c r="BS847" t="s">
        <v>12127</v>
      </c>
      <c r="BT847" t="str">
        <f>HYPERLINK("https%3A%2F%2Fwww.webofscience.com%2Fwos%2Fwoscc%2Ffull-record%2FWOS:000186314200004","View Full Record in Web of Science")</f>
        <v>View Full Record in Web of Science</v>
      </c>
    </row>
    <row r="848" spans="1:72" x14ac:dyDescent="0.15">
      <c r="A848" t="s">
        <v>72</v>
      </c>
      <c r="B848" t="s">
        <v>12128</v>
      </c>
      <c r="C848" t="s">
        <v>74</v>
      </c>
      <c r="D848" t="s">
        <v>74</v>
      </c>
      <c r="E848" t="s">
        <v>74</v>
      </c>
      <c r="F848" t="s">
        <v>12128</v>
      </c>
      <c r="G848" t="s">
        <v>74</v>
      </c>
      <c r="H848" t="s">
        <v>74</v>
      </c>
      <c r="I848" t="s">
        <v>12129</v>
      </c>
      <c r="J848" t="s">
        <v>12130</v>
      </c>
      <c r="K848" t="s">
        <v>74</v>
      </c>
      <c r="L848" t="s">
        <v>74</v>
      </c>
      <c r="M848" t="s">
        <v>77</v>
      </c>
      <c r="N848" t="s">
        <v>78</v>
      </c>
      <c r="O848" t="s">
        <v>74</v>
      </c>
      <c r="P848" t="s">
        <v>74</v>
      </c>
      <c r="Q848" t="s">
        <v>74</v>
      </c>
      <c r="R848" t="s">
        <v>74</v>
      </c>
      <c r="S848" t="s">
        <v>74</v>
      </c>
      <c r="T848" t="s">
        <v>12131</v>
      </c>
      <c r="U848" t="s">
        <v>12132</v>
      </c>
      <c r="V848" t="s">
        <v>12133</v>
      </c>
      <c r="W848" t="s">
        <v>12134</v>
      </c>
      <c r="X848" t="s">
        <v>12135</v>
      </c>
      <c r="Y848" t="s">
        <v>12136</v>
      </c>
      <c r="Z848" t="s">
        <v>74</v>
      </c>
      <c r="AA848" t="s">
        <v>12137</v>
      </c>
      <c r="AB848" t="s">
        <v>12138</v>
      </c>
      <c r="AC848" t="s">
        <v>74</v>
      </c>
      <c r="AD848" t="s">
        <v>74</v>
      </c>
      <c r="AE848" t="s">
        <v>74</v>
      </c>
      <c r="AF848" t="s">
        <v>74</v>
      </c>
      <c r="AG848">
        <v>75</v>
      </c>
      <c r="AH848">
        <v>45</v>
      </c>
      <c r="AI848">
        <v>50</v>
      </c>
      <c r="AJ848">
        <v>0</v>
      </c>
      <c r="AK848">
        <v>24</v>
      </c>
      <c r="AL848" t="s">
        <v>1235</v>
      </c>
      <c r="AM848" t="s">
        <v>214</v>
      </c>
      <c r="AN848" t="s">
        <v>1236</v>
      </c>
      <c r="AO848" t="s">
        <v>12139</v>
      </c>
      <c r="AP848" t="s">
        <v>74</v>
      </c>
      <c r="AQ848" t="s">
        <v>74</v>
      </c>
      <c r="AR848" t="s">
        <v>12130</v>
      </c>
      <c r="AS848" t="s">
        <v>12140</v>
      </c>
      <c r="AT848" t="s">
        <v>10978</v>
      </c>
      <c r="AU848">
        <v>2003</v>
      </c>
      <c r="AV848">
        <v>50</v>
      </c>
      <c r="AW848">
        <v>6</v>
      </c>
      <c r="AX848" t="s">
        <v>74</v>
      </c>
      <c r="AY848" t="s">
        <v>74</v>
      </c>
      <c r="AZ848" t="s">
        <v>74</v>
      </c>
      <c r="BA848" t="s">
        <v>74</v>
      </c>
      <c r="BB848">
        <v>1061</v>
      </c>
      <c r="BC848">
        <v>1077</v>
      </c>
      <c r="BD848" t="s">
        <v>74</v>
      </c>
      <c r="BE848" t="s">
        <v>12141</v>
      </c>
      <c r="BF848" t="str">
        <f>HYPERLINK("http://dx.doi.org/10.1046/j.1365-3091.2003.00593.x","http://dx.doi.org/10.1046/j.1365-3091.2003.00593.x")</f>
        <v>http://dx.doi.org/10.1046/j.1365-3091.2003.00593.x</v>
      </c>
      <c r="BG848" t="s">
        <v>74</v>
      </c>
      <c r="BH848" t="s">
        <v>74</v>
      </c>
      <c r="BI848">
        <v>17</v>
      </c>
      <c r="BJ848" t="s">
        <v>561</v>
      </c>
      <c r="BK848" t="s">
        <v>96</v>
      </c>
      <c r="BL848" t="s">
        <v>561</v>
      </c>
      <c r="BM848" t="s">
        <v>12142</v>
      </c>
      <c r="BN848" t="s">
        <v>74</v>
      </c>
      <c r="BO848" t="s">
        <v>74</v>
      </c>
      <c r="BP848" t="s">
        <v>74</v>
      </c>
      <c r="BQ848" t="s">
        <v>74</v>
      </c>
      <c r="BR848" t="s">
        <v>99</v>
      </c>
      <c r="BS848" t="s">
        <v>12143</v>
      </c>
      <c r="BT848" t="str">
        <f>HYPERLINK("https%3A%2F%2Fwww.webofscience.com%2Fwos%2Fwoscc%2Ffull-record%2FWOS:000186913500003","View Full Record in Web of Science")</f>
        <v>View Full Record in Web of Science</v>
      </c>
    </row>
    <row r="849" spans="1:72" x14ac:dyDescent="0.15">
      <c r="A849" t="s">
        <v>72</v>
      </c>
      <c r="B849" t="s">
        <v>12144</v>
      </c>
      <c r="C849" t="s">
        <v>74</v>
      </c>
      <c r="D849" t="s">
        <v>74</v>
      </c>
      <c r="E849" t="s">
        <v>74</v>
      </c>
      <c r="F849" t="s">
        <v>12144</v>
      </c>
      <c r="G849" t="s">
        <v>74</v>
      </c>
      <c r="H849" t="s">
        <v>74</v>
      </c>
      <c r="I849" t="s">
        <v>12145</v>
      </c>
      <c r="J849" t="s">
        <v>12146</v>
      </c>
      <c r="K849" t="s">
        <v>74</v>
      </c>
      <c r="L849" t="s">
        <v>74</v>
      </c>
      <c r="M849" t="s">
        <v>77</v>
      </c>
      <c r="N849" t="s">
        <v>78</v>
      </c>
      <c r="O849" t="s">
        <v>74</v>
      </c>
      <c r="P849" t="s">
        <v>74</v>
      </c>
      <c r="Q849" t="s">
        <v>74</v>
      </c>
      <c r="R849" t="s">
        <v>74</v>
      </c>
      <c r="S849" t="s">
        <v>74</v>
      </c>
      <c r="T849" t="s">
        <v>74</v>
      </c>
      <c r="U849" t="s">
        <v>12147</v>
      </c>
      <c r="V849" t="s">
        <v>12148</v>
      </c>
      <c r="W849" t="s">
        <v>12149</v>
      </c>
      <c r="X849" t="s">
        <v>6318</v>
      </c>
      <c r="Y849" t="s">
        <v>12150</v>
      </c>
      <c r="Z849" t="s">
        <v>74</v>
      </c>
      <c r="AA849" t="s">
        <v>12151</v>
      </c>
      <c r="AB849" t="s">
        <v>12152</v>
      </c>
      <c r="AC849" t="s">
        <v>74</v>
      </c>
      <c r="AD849" t="s">
        <v>74</v>
      </c>
      <c r="AE849" t="s">
        <v>74</v>
      </c>
      <c r="AF849" t="s">
        <v>74</v>
      </c>
      <c r="AG849">
        <v>14</v>
      </c>
      <c r="AH849">
        <v>24</v>
      </c>
      <c r="AI849">
        <v>26</v>
      </c>
      <c r="AJ849">
        <v>2</v>
      </c>
      <c r="AK849">
        <v>17</v>
      </c>
      <c r="AL849" t="s">
        <v>12153</v>
      </c>
      <c r="AM849" t="s">
        <v>1417</v>
      </c>
      <c r="AN849" t="s">
        <v>12154</v>
      </c>
      <c r="AO849" t="s">
        <v>12155</v>
      </c>
      <c r="AP849" t="s">
        <v>74</v>
      </c>
      <c r="AQ849" t="s">
        <v>74</v>
      </c>
      <c r="AR849" t="s">
        <v>12156</v>
      </c>
      <c r="AS849" t="s">
        <v>12157</v>
      </c>
      <c r="AT849" t="s">
        <v>11235</v>
      </c>
      <c r="AU849">
        <v>2003</v>
      </c>
      <c r="AV849">
        <v>25</v>
      </c>
      <c r="AW849">
        <v>4</v>
      </c>
      <c r="AX849" t="s">
        <v>74</v>
      </c>
      <c r="AY849" t="s">
        <v>74</v>
      </c>
      <c r="AZ849" t="s">
        <v>74</v>
      </c>
      <c r="BA849" t="s">
        <v>74</v>
      </c>
      <c r="BB849">
        <v>175</v>
      </c>
      <c r="BC849">
        <v>184</v>
      </c>
      <c r="BD849" t="s">
        <v>74</v>
      </c>
      <c r="BE849" t="s">
        <v>12158</v>
      </c>
      <c r="BF849" t="str">
        <f>HYPERLINK("http://dx.doi.org/10.3723/175605403783101612","http://dx.doi.org/10.3723/175605403783101612")</f>
        <v>http://dx.doi.org/10.3723/175605403783101612</v>
      </c>
      <c r="BG849" t="s">
        <v>74</v>
      </c>
      <c r="BH849" t="s">
        <v>74</v>
      </c>
      <c r="BI849">
        <v>10</v>
      </c>
      <c r="BJ849" t="s">
        <v>9673</v>
      </c>
      <c r="BK849" t="s">
        <v>96</v>
      </c>
      <c r="BL849" t="s">
        <v>3956</v>
      </c>
      <c r="BM849" t="s">
        <v>12159</v>
      </c>
      <c r="BN849" t="s">
        <v>74</v>
      </c>
      <c r="BO849" t="s">
        <v>1971</v>
      </c>
      <c r="BP849" t="s">
        <v>74</v>
      </c>
      <c r="BQ849" t="s">
        <v>74</v>
      </c>
      <c r="BR849" t="s">
        <v>99</v>
      </c>
      <c r="BS849" t="s">
        <v>12160</v>
      </c>
      <c r="BT849" t="str">
        <f>HYPERLINK("https%3A%2F%2Fwww.webofscience.com%2Fwos%2Fwoscc%2Ffull-record%2FWOS:000223080200003","View Full Record in Web of Science")</f>
        <v>View Full Record in Web of Science</v>
      </c>
    </row>
    <row r="850" spans="1:72" x14ac:dyDescent="0.15">
      <c r="A850" t="s">
        <v>72</v>
      </c>
      <c r="B850" t="s">
        <v>12161</v>
      </c>
      <c r="C850" t="s">
        <v>74</v>
      </c>
      <c r="D850" t="s">
        <v>74</v>
      </c>
      <c r="E850" t="s">
        <v>74</v>
      </c>
      <c r="F850" t="s">
        <v>12161</v>
      </c>
      <c r="G850" t="s">
        <v>74</v>
      </c>
      <c r="H850" t="s">
        <v>74</v>
      </c>
      <c r="I850" t="s">
        <v>12162</v>
      </c>
      <c r="J850" t="s">
        <v>2148</v>
      </c>
      <c r="K850" t="s">
        <v>74</v>
      </c>
      <c r="L850" t="s">
        <v>74</v>
      </c>
      <c r="M850" t="s">
        <v>77</v>
      </c>
      <c r="N850" t="s">
        <v>78</v>
      </c>
      <c r="O850" t="s">
        <v>74</v>
      </c>
      <c r="P850" t="s">
        <v>74</v>
      </c>
      <c r="Q850" t="s">
        <v>74</v>
      </c>
      <c r="R850" t="s">
        <v>74</v>
      </c>
      <c r="S850" t="s">
        <v>74</v>
      </c>
      <c r="T850" t="s">
        <v>12163</v>
      </c>
      <c r="U850" t="s">
        <v>12164</v>
      </c>
      <c r="V850" t="s">
        <v>12165</v>
      </c>
      <c r="W850" t="s">
        <v>12166</v>
      </c>
      <c r="X850" t="s">
        <v>12167</v>
      </c>
      <c r="Y850" t="s">
        <v>12168</v>
      </c>
      <c r="Z850" t="s">
        <v>12169</v>
      </c>
      <c r="AA850" t="s">
        <v>74</v>
      </c>
      <c r="AB850" t="s">
        <v>74</v>
      </c>
      <c r="AC850" t="s">
        <v>74</v>
      </c>
      <c r="AD850" t="s">
        <v>74</v>
      </c>
      <c r="AE850" t="s">
        <v>74</v>
      </c>
      <c r="AF850" t="s">
        <v>74</v>
      </c>
      <c r="AG850">
        <v>62</v>
      </c>
      <c r="AH850">
        <v>37</v>
      </c>
      <c r="AI850">
        <v>42</v>
      </c>
      <c r="AJ850">
        <v>0</v>
      </c>
      <c r="AK850">
        <v>24</v>
      </c>
      <c r="AL850" t="s">
        <v>685</v>
      </c>
      <c r="AM850" t="s">
        <v>529</v>
      </c>
      <c r="AN850" t="s">
        <v>686</v>
      </c>
      <c r="AO850" t="s">
        <v>2156</v>
      </c>
      <c r="AP850" t="s">
        <v>2157</v>
      </c>
      <c r="AQ850" t="s">
        <v>74</v>
      </c>
      <c r="AR850" t="s">
        <v>2158</v>
      </c>
      <c r="AS850" t="s">
        <v>2159</v>
      </c>
      <c r="AT850" t="s">
        <v>12170</v>
      </c>
      <c r="AU850">
        <v>2003</v>
      </c>
      <c r="AV850">
        <v>202</v>
      </c>
      <c r="AW850" t="s">
        <v>710</v>
      </c>
      <c r="AX850" t="s">
        <v>74</v>
      </c>
      <c r="AY850" t="s">
        <v>74</v>
      </c>
      <c r="AZ850" t="s">
        <v>74</v>
      </c>
      <c r="BA850" t="s">
        <v>74</v>
      </c>
      <c r="BB850">
        <v>143</v>
      </c>
      <c r="BC850">
        <v>158</v>
      </c>
      <c r="BD850" t="s">
        <v>74</v>
      </c>
      <c r="BE850" t="s">
        <v>12171</v>
      </c>
      <c r="BF850" t="str">
        <f>HYPERLINK("http://dx.doi.org/10.1016/S0025-3227(03)00283-4","http://dx.doi.org/10.1016/S0025-3227(03)00283-4")</f>
        <v>http://dx.doi.org/10.1016/S0025-3227(03)00283-4</v>
      </c>
      <c r="BG850" t="s">
        <v>74</v>
      </c>
      <c r="BH850" t="s">
        <v>74</v>
      </c>
      <c r="BI850">
        <v>16</v>
      </c>
      <c r="BJ850" t="s">
        <v>2161</v>
      </c>
      <c r="BK850" t="s">
        <v>96</v>
      </c>
      <c r="BL850" t="s">
        <v>2162</v>
      </c>
      <c r="BM850" t="s">
        <v>12172</v>
      </c>
      <c r="BN850" t="s">
        <v>74</v>
      </c>
      <c r="BO850" t="s">
        <v>74</v>
      </c>
      <c r="BP850" t="s">
        <v>74</v>
      </c>
      <c r="BQ850" t="s">
        <v>74</v>
      </c>
      <c r="BR850" t="s">
        <v>99</v>
      </c>
      <c r="BS850" t="s">
        <v>12173</v>
      </c>
      <c r="BT850" t="str">
        <f>HYPERLINK("https%3A%2F%2Fwww.webofscience.com%2Fwos%2Fwoscc%2Ffull-record%2FWOS:000186911700003","View Full Record in Web of Science")</f>
        <v>View Full Record in Web of Science</v>
      </c>
    </row>
    <row r="851" spans="1:72" x14ac:dyDescent="0.15">
      <c r="A851" t="s">
        <v>72</v>
      </c>
      <c r="B851" t="s">
        <v>12174</v>
      </c>
      <c r="C851" t="s">
        <v>74</v>
      </c>
      <c r="D851" t="s">
        <v>74</v>
      </c>
      <c r="E851" t="s">
        <v>74</v>
      </c>
      <c r="F851" t="s">
        <v>12174</v>
      </c>
      <c r="G851" t="s">
        <v>74</v>
      </c>
      <c r="H851" t="s">
        <v>74</v>
      </c>
      <c r="I851" t="s">
        <v>12175</v>
      </c>
      <c r="J851" t="s">
        <v>3819</v>
      </c>
      <c r="K851" t="s">
        <v>74</v>
      </c>
      <c r="L851" t="s">
        <v>74</v>
      </c>
      <c r="M851" t="s">
        <v>77</v>
      </c>
      <c r="N851" t="s">
        <v>78</v>
      </c>
      <c r="O851" t="s">
        <v>74</v>
      </c>
      <c r="P851" t="s">
        <v>74</v>
      </c>
      <c r="Q851" t="s">
        <v>74</v>
      </c>
      <c r="R851" t="s">
        <v>74</v>
      </c>
      <c r="S851" t="s">
        <v>74</v>
      </c>
      <c r="T851" t="s">
        <v>12176</v>
      </c>
      <c r="U851" t="s">
        <v>12177</v>
      </c>
      <c r="V851" t="s">
        <v>12178</v>
      </c>
      <c r="W851" t="s">
        <v>12179</v>
      </c>
      <c r="X851" t="s">
        <v>12180</v>
      </c>
      <c r="Y851" t="s">
        <v>12181</v>
      </c>
      <c r="Z851" t="s">
        <v>12182</v>
      </c>
      <c r="AA851" t="s">
        <v>12183</v>
      </c>
      <c r="AB851" t="s">
        <v>74</v>
      </c>
      <c r="AC851" t="s">
        <v>74</v>
      </c>
      <c r="AD851" t="s">
        <v>74</v>
      </c>
      <c r="AE851" t="s">
        <v>74</v>
      </c>
      <c r="AF851" t="s">
        <v>74</v>
      </c>
      <c r="AG851">
        <v>30</v>
      </c>
      <c r="AH851">
        <v>59</v>
      </c>
      <c r="AI851">
        <v>64</v>
      </c>
      <c r="AJ851">
        <v>0</v>
      </c>
      <c r="AK851">
        <v>15</v>
      </c>
      <c r="AL851" t="s">
        <v>235</v>
      </c>
      <c r="AM851" t="s">
        <v>87</v>
      </c>
      <c r="AN851" t="s">
        <v>236</v>
      </c>
      <c r="AO851" t="s">
        <v>3828</v>
      </c>
      <c r="AP851" t="s">
        <v>12184</v>
      </c>
      <c r="AQ851" t="s">
        <v>74</v>
      </c>
      <c r="AR851" t="s">
        <v>3829</v>
      </c>
      <c r="AS851" t="s">
        <v>3830</v>
      </c>
      <c r="AT851" t="s">
        <v>12170</v>
      </c>
      <c r="AU851">
        <v>2003</v>
      </c>
      <c r="AV851">
        <v>88</v>
      </c>
      <c r="AW851" t="s">
        <v>536</v>
      </c>
      <c r="AX851" t="s">
        <v>74</v>
      </c>
      <c r="AY851" t="s">
        <v>74</v>
      </c>
      <c r="AZ851" t="s">
        <v>74</v>
      </c>
      <c r="BA851" t="s">
        <v>74</v>
      </c>
      <c r="BB851">
        <v>53</v>
      </c>
      <c r="BC851">
        <v>68</v>
      </c>
      <c r="BD851" t="s">
        <v>74</v>
      </c>
      <c r="BE851" t="s">
        <v>12185</v>
      </c>
      <c r="BF851" t="str">
        <f>HYPERLINK("http://dx.doi.org/10.1016/j.rse.2003.07.008","http://dx.doi.org/10.1016/j.rse.2003.07.008")</f>
        <v>http://dx.doi.org/10.1016/j.rse.2003.07.008</v>
      </c>
      <c r="BG851" t="s">
        <v>74</v>
      </c>
      <c r="BH851" t="s">
        <v>74</v>
      </c>
      <c r="BI851">
        <v>16</v>
      </c>
      <c r="BJ851" t="s">
        <v>3832</v>
      </c>
      <c r="BK851" t="s">
        <v>96</v>
      </c>
      <c r="BL851" t="s">
        <v>3833</v>
      </c>
      <c r="BM851" t="s">
        <v>12186</v>
      </c>
      <c r="BN851" t="s">
        <v>74</v>
      </c>
      <c r="BO851" t="s">
        <v>156</v>
      </c>
      <c r="BP851" t="s">
        <v>74</v>
      </c>
      <c r="BQ851" t="s">
        <v>74</v>
      </c>
      <c r="BR851" t="s">
        <v>99</v>
      </c>
      <c r="BS851" t="s">
        <v>12187</v>
      </c>
      <c r="BT851" t="str">
        <f>HYPERLINK("https%3A%2F%2Fwww.webofscience.com%2Fwos%2Fwoscc%2Ffull-record%2FWOS:000187078500006","View Full Record in Web of Science")</f>
        <v>View Full Record in Web of Science</v>
      </c>
    </row>
    <row r="852" spans="1:72" x14ac:dyDescent="0.15">
      <c r="A852" t="s">
        <v>72</v>
      </c>
      <c r="B852" t="s">
        <v>12188</v>
      </c>
      <c r="C852" t="s">
        <v>74</v>
      </c>
      <c r="D852" t="s">
        <v>74</v>
      </c>
      <c r="E852" t="s">
        <v>74</v>
      </c>
      <c r="F852" t="s">
        <v>12188</v>
      </c>
      <c r="G852" t="s">
        <v>74</v>
      </c>
      <c r="H852" t="s">
        <v>74</v>
      </c>
      <c r="I852" t="s">
        <v>12189</v>
      </c>
      <c r="J852" t="s">
        <v>419</v>
      </c>
      <c r="K852" t="s">
        <v>74</v>
      </c>
      <c r="L852" t="s">
        <v>74</v>
      </c>
      <c r="M852" t="s">
        <v>77</v>
      </c>
      <c r="N852" t="s">
        <v>78</v>
      </c>
      <c r="O852" t="s">
        <v>74</v>
      </c>
      <c r="P852" t="s">
        <v>74</v>
      </c>
      <c r="Q852" t="s">
        <v>74</v>
      </c>
      <c r="R852" t="s">
        <v>74</v>
      </c>
      <c r="S852" t="s">
        <v>74</v>
      </c>
      <c r="T852" t="s">
        <v>12190</v>
      </c>
      <c r="U852" t="s">
        <v>12191</v>
      </c>
      <c r="V852" t="s">
        <v>12192</v>
      </c>
      <c r="W852" t="s">
        <v>12193</v>
      </c>
      <c r="X852" t="s">
        <v>12194</v>
      </c>
      <c r="Y852" t="s">
        <v>12195</v>
      </c>
      <c r="Z852" t="s">
        <v>12196</v>
      </c>
      <c r="AA852" t="s">
        <v>12197</v>
      </c>
      <c r="AB852" t="s">
        <v>12198</v>
      </c>
      <c r="AC852" t="s">
        <v>74</v>
      </c>
      <c r="AD852" t="s">
        <v>74</v>
      </c>
      <c r="AE852" t="s">
        <v>74</v>
      </c>
      <c r="AF852" t="s">
        <v>74</v>
      </c>
      <c r="AG852">
        <v>36</v>
      </c>
      <c r="AH852">
        <v>52</v>
      </c>
      <c r="AI852">
        <v>62</v>
      </c>
      <c r="AJ852">
        <v>2</v>
      </c>
      <c r="AK852">
        <v>14</v>
      </c>
      <c r="AL852" t="s">
        <v>363</v>
      </c>
      <c r="AM852" t="s">
        <v>364</v>
      </c>
      <c r="AN852" t="s">
        <v>365</v>
      </c>
      <c r="AO852" t="s">
        <v>429</v>
      </c>
      <c r="AP852" t="s">
        <v>74</v>
      </c>
      <c r="AQ852" t="s">
        <v>74</v>
      </c>
      <c r="AR852" t="s">
        <v>431</v>
      </c>
      <c r="AS852" t="s">
        <v>432</v>
      </c>
      <c r="AT852" t="s">
        <v>12199</v>
      </c>
      <c r="AU852">
        <v>2003</v>
      </c>
      <c r="AV852">
        <v>108</v>
      </c>
      <c r="AW852" t="s">
        <v>12200</v>
      </c>
      <c r="AX852" t="s">
        <v>74</v>
      </c>
      <c r="AY852" t="s">
        <v>74</v>
      </c>
      <c r="AZ852" t="s">
        <v>74</v>
      </c>
      <c r="BA852" t="s">
        <v>74</v>
      </c>
      <c r="BB852" t="s">
        <v>74</v>
      </c>
      <c r="BC852" t="s">
        <v>74</v>
      </c>
      <c r="BD852">
        <v>4707</v>
      </c>
      <c r="BE852" t="s">
        <v>12201</v>
      </c>
      <c r="BF852" t="str">
        <f>HYPERLINK("http://dx.doi.org/10.1029/2002JD003327","http://dx.doi.org/10.1029/2002JD003327")</f>
        <v>http://dx.doi.org/10.1029/2002JD003327</v>
      </c>
      <c r="BG852" t="s">
        <v>74</v>
      </c>
      <c r="BH852" t="s">
        <v>74</v>
      </c>
      <c r="BI852">
        <v>9</v>
      </c>
      <c r="BJ852" t="s">
        <v>186</v>
      </c>
      <c r="BK852" t="s">
        <v>96</v>
      </c>
      <c r="BL852" t="s">
        <v>186</v>
      </c>
      <c r="BM852" t="s">
        <v>12202</v>
      </c>
      <c r="BN852" t="s">
        <v>74</v>
      </c>
      <c r="BO852" t="s">
        <v>74</v>
      </c>
      <c r="BP852" t="s">
        <v>74</v>
      </c>
      <c r="BQ852" t="s">
        <v>74</v>
      </c>
      <c r="BR852" t="s">
        <v>99</v>
      </c>
      <c r="BS852" t="s">
        <v>12203</v>
      </c>
      <c r="BT852" t="str">
        <f>HYPERLINK("https%3A%2F%2Fwww.webofscience.com%2Fwos%2Fwoscc%2Ffull-record%2FWOS:000186941200002","View Full Record in Web of Science")</f>
        <v>View Full Record in Web of Science</v>
      </c>
    </row>
    <row r="853" spans="1:72" x14ac:dyDescent="0.15">
      <c r="A853" t="s">
        <v>72</v>
      </c>
      <c r="B853" t="s">
        <v>12204</v>
      </c>
      <c r="C853" t="s">
        <v>74</v>
      </c>
      <c r="D853" t="s">
        <v>74</v>
      </c>
      <c r="E853" t="s">
        <v>74</v>
      </c>
      <c r="F853" t="s">
        <v>12204</v>
      </c>
      <c r="G853" t="s">
        <v>74</v>
      </c>
      <c r="H853" t="s">
        <v>74</v>
      </c>
      <c r="I853" t="s">
        <v>12205</v>
      </c>
      <c r="J853" t="s">
        <v>12206</v>
      </c>
      <c r="K853" t="s">
        <v>74</v>
      </c>
      <c r="L853" t="s">
        <v>74</v>
      </c>
      <c r="M853" t="s">
        <v>77</v>
      </c>
      <c r="N853" t="s">
        <v>78</v>
      </c>
      <c r="O853" t="s">
        <v>74</v>
      </c>
      <c r="P853" t="s">
        <v>74</v>
      </c>
      <c r="Q853" t="s">
        <v>74</v>
      </c>
      <c r="R853" t="s">
        <v>74</v>
      </c>
      <c r="S853" t="s">
        <v>74</v>
      </c>
      <c r="T853" t="s">
        <v>12207</v>
      </c>
      <c r="U853" t="s">
        <v>12208</v>
      </c>
      <c r="V853" t="s">
        <v>12209</v>
      </c>
      <c r="W853" t="s">
        <v>12210</v>
      </c>
      <c r="X853" t="s">
        <v>12211</v>
      </c>
      <c r="Y853" t="s">
        <v>12212</v>
      </c>
      <c r="Z853" t="s">
        <v>74</v>
      </c>
      <c r="AA853" t="s">
        <v>12213</v>
      </c>
      <c r="AB853" t="s">
        <v>12214</v>
      </c>
      <c r="AC853" t="s">
        <v>74</v>
      </c>
      <c r="AD853" t="s">
        <v>74</v>
      </c>
      <c r="AE853" t="s">
        <v>74</v>
      </c>
      <c r="AF853" t="s">
        <v>74</v>
      </c>
      <c r="AG853">
        <v>18</v>
      </c>
      <c r="AH853">
        <v>8</v>
      </c>
      <c r="AI853">
        <v>9</v>
      </c>
      <c r="AJ853">
        <v>0</v>
      </c>
      <c r="AK853">
        <v>13</v>
      </c>
      <c r="AL853" t="s">
        <v>528</v>
      </c>
      <c r="AM853" t="s">
        <v>529</v>
      </c>
      <c r="AN853" t="s">
        <v>530</v>
      </c>
      <c r="AO853" t="s">
        <v>12215</v>
      </c>
      <c r="AP853" t="s">
        <v>74</v>
      </c>
      <c r="AQ853" t="s">
        <v>74</v>
      </c>
      <c r="AR853" t="s">
        <v>12216</v>
      </c>
      <c r="AS853" t="s">
        <v>12217</v>
      </c>
      <c r="AT853" t="s">
        <v>12218</v>
      </c>
      <c r="AU853">
        <v>2003</v>
      </c>
      <c r="AV853">
        <v>498</v>
      </c>
      <c r="AW853" t="s">
        <v>536</v>
      </c>
      <c r="AX853" t="s">
        <v>74</v>
      </c>
      <c r="AY853" t="s">
        <v>74</v>
      </c>
      <c r="AZ853" t="s">
        <v>74</v>
      </c>
      <c r="BA853" t="s">
        <v>74</v>
      </c>
      <c r="BB853">
        <v>165</v>
      </c>
      <c r="BC853">
        <v>173</v>
      </c>
      <c r="BD853" t="s">
        <v>74</v>
      </c>
      <c r="BE853" t="s">
        <v>12219</v>
      </c>
      <c r="BF853" t="str">
        <f>HYPERLINK("http://dx.doi.org/10.1016/j.aca.2003.08.058","http://dx.doi.org/10.1016/j.aca.2003.08.058")</f>
        <v>http://dx.doi.org/10.1016/j.aca.2003.08.058</v>
      </c>
      <c r="BG853" t="s">
        <v>74</v>
      </c>
      <c r="BH853" t="s">
        <v>74</v>
      </c>
      <c r="BI853">
        <v>9</v>
      </c>
      <c r="BJ853" t="s">
        <v>2112</v>
      </c>
      <c r="BK853" t="s">
        <v>96</v>
      </c>
      <c r="BL853" t="s">
        <v>2113</v>
      </c>
      <c r="BM853" t="s">
        <v>12220</v>
      </c>
      <c r="BN853" t="s">
        <v>74</v>
      </c>
      <c r="BO853" t="s">
        <v>74</v>
      </c>
      <c r="BP853" t="s">
        <v>74</v>
      </c>
      <c r="BQ853" t="s">
        <v>74</v>
      </c>
      <c r="BR853" t="s">
        <v>99</v>
      </c>
      <c r="BS853" t="s">
        <v>12221</v>
      </c>
      <c r="BT853" t="str">
        <f>HYPERLINK("https%3A%2F%2Fwww.webofscience.com%2Fwos%2Fwoscc%2Ffull-record%2FWOS:000186601200015","View Full Record in Web of Science")</f>
        <v>View Full Record in Web of Science</v>
      </c>
    </row>
    <row r="854" spans="1:72" x14ac:dyDescent="0.15">
      <c r="A854" t="s">
        <v>72</v>
      </c>
      <c r="B854" t="s">
        <v>12222</v>
      </c>
      <c r="C854" t="s">
        <v>74</v>
      </c>
      <c r="D854" t="s">
        <v>74</v>
      </c>
      <c r="E854" t="s">
        <v>74</v>
      </c>
      <c r="F854" t="s">
        <v>12222</v>
      </c>
      <c r="G854" t="s">
        <v>74</v>
      </c>
      <c r="H854" t="s">
        <v>74</v>
      </c>
      <c r="I854" t="s">
        <v>12223</v>
      </c>
      <c r="J854" t="s">
        <v>545</v>
      </c>
      <c r="K854" t="s">
        <v>74</v>
      </c>
      <c r="L854" t="s">
        <v>74</v>
      </c>
      <c r="M854" t="s">
        <v>77</v>
      </c>
      <c r="N854" t="s">
        <v>78</v>
      </c>
      <c r="O854" t="s">
        <v>74</v>
      </c>
      <c r="P854" t="s">
        <v>74</v>
      </c>
      <c r="Q854" t="s">
        <v>74</v>
      </c>
      <c r="R854" t="s">
        <v>74</v>
      </c>
      <c r="S854" t="s">
        <v>74</v>
      </c>
      <c r="T854" t="s">
        <v>74</v>
      </c>
      <c r="U854" t="s">
        <v>12224</v>
      </c>
      <c r="V854" t="s">
        <v>12225</v>
      </c>
      <c r="W854" t="s">
        <v>12226</v>
      </c>
      <c r="X854" t="s">
        <v>12227</v>
      </c>
      <c r="Y854" t="s">
        <v>12228</v>
      </c>
      <c r="Z854" t="s">
        <v>74</v>
      </c>
      <c r="AA854" t="s">
        <v>12229</v>
      </c>
      <c r="AB854" t="s">
        <v>12230</v>
      </c>
      <c r="AC854" t="s">
        <v>74</v>
      </c>
      <c r="AD854" t="s">
        <v>74</v>
      </c>
      <c r="AE854" t="s">
        <v>74</v>
      </c>
      <c r="AF854" t="s">
        <v>74</v>
      </c>
      <c r="AG854">
        <v>27</v>
      </c>
      <c r="AH854">
        <v>30</v>
      </c>
      <c r="AI854">
        <v>30</v>
      </c>
      <c r="AJ854">
        <v>0</v>
      </c>
      <c r="AK854">
        <v>2</v>
      </c>
      <c r="AL854" t="s">
        <v>363</v>
      </c>
      <c r="AM854" t="s">
        <v>364</v>
      </c>
      <c r="AN854" t="s">
        <v>365</v>
      </c>
      <c r="AO854" t="s">
        <v>553</v>
      </c>
      <c r="AP854" t="s">
        <v>74</v>
      </c>
      <c r="AQ854" t="s">
        <v>74</v>
      </c>
      <c r="AR854" t="s">
        <v>555</v>
      </c>
      <c r="AS854" t="s">
        <v>556</v>
      </c>
      <c r="AT854" t="s">
        <v>12218</v>
      </c>
      <c r="AU854">
        <v>2003</v>
      </c>
      <c r="AV854">
        <v>30</v>
      </c>
      <c r="AW854">
        <v>22</v>
      </c>
      <c r="AX854" t="s">
        <v>74</v>
      </c>
      <c r="AY854" t="s">
        <v>74</v>
      </c>
      <c r="AZ854" t="s">
        <v>74</v>
      </c>
      <c r="BA854" t="s">
        <v>74</v>
      </c>
      <c r="BB854" t="s">
        <v>74</v>
      </c>
      <c r="BC854" t="s">
        <v>74</v>
      </c>
      <c r="BD854">
        <v>2174</v>
      </c>
      <c r="BE854" t="s">
        <v>12231</v>
      </c>
      <c r="BF854" t="str">
        <f>HYPERLINK("http://dx.doi.org/10.1029/2003GL018209","http://dx.doi.org/10.1029/2003GL018209")</f>
        <v>http://dx.doi.org/10.1029/2003GL018209</v>
      </c>
      <c r="BG854" t="s">
        <v>74</v>
      </c>
      <c r="BH854" t="s">
        <v>74</v>
      </c>
      <c r="BI854">
        <v>4</v>
      </c>
      <c r="BJ854" t="s">
        <v>560</v>
      </c>
      <c r="BK854" t="s">
        <v>96</v>
      </c>
      <c r="BL854" t="s">
        <v>561</v>
      </c>
      <c r="BM854" t="s">
        <v>12232</v>
      </c>
      <c r="BN854" t="s">
        <v>74</v>
      </c>
      <c r="BO854" t="s">
        <v>12233</v>
      </c>
      <c r="BP854" t="s">
        <v>74</v>
      </c>
      <c r="BQ854" t="s">
        <v>74</v>
      </c>
      <c r="BR854" t="s">
        <v>99</v>
      </c>
      <c r="BS854" t="s">
        <v>12234</v>
      </c>
      <c r="BT854" t="str">
        <f>HYPERLINK("https%3A%2F%2Fwww.webofscience.com%2Fwos%2Fwoscc%2Ffull-record%2FWOS:000186939900001","View Full Record in Web of Science")</f>
        <v>View Full Record in Web of Science</v>
      </c>
    </row>
    <row r="855" spans="1:72" x14ac:dyDescent="0.15">
      <c r="A855" t="s">
        <v>72</v>
      </c>
      <c r="B855" t="s">
        <v>12235</v>
      </c>
      <c r="C855" t="s">
        <v>74</v>
      </c>
      <c r="D855" t="s">
        <v>74</v>
      </c>
      <c r="E855" t="s">
        <v>74</v>
      </c>
      <c r="F855" t="s">
        <v>12235</v>
      </c>
      <c r="G855" t="s">
        <v>74</v>
      </c>
      <c r="H855" t="s">
        <v>74</v>
      </c>
      <c r="I855" t="s">
        <v>12236</v>
      </c>
      <c r="J855" t="s">
        <v>799</v>
      </c>
      <c r="K855" t="s">
        <v>74</v>
      </c>
      <c r="L855" t="s">
        <v>74</v>
      </c>
      <c r="M855" t="s">
        <v>77</v>
      </c>
      <c r="N855" t="s">
        <v>78</v>
      </c>
      <c r="O855" t="s">
        <v>74</v>
      </c>
      <c r="P855" t="s">
        <v>74</v>
      </c>
      <c r="Q855" t="s">
        <v>74</v>
      </c>
      <c r="R855" t="s">
        <v>74</v>
      </c>
      <c r="S855" t="s">
        <v>74</v>
      </c>
      <c r="T855" t="s">
        <v>12237</v>
      </c>
      <c r="U855" t="s">
        <v>12238</v>
      </c>
      <c r="V855" t="s">
        <v>12239</v>
      </c>
      <c r="W855" t="s">
        <v>12240</v>
      </c>
      <c r="X855" t="s">
        <v>12241</v>
      </c>
      <c r="Y855" t="s">
        <v>2355</v>
      </c>
      <c r="Z855" t="s">
        <v>12242</v>
      </c>
      <c r="AA855" t="s">
        <v>12243</v>
      </c>
      <c r="AB855" t="s">
        <v>74</v>
      </c>
      <c r="AC855" t="s">
        <v>74</v>
      </c>
      <c r="AD855" t="s">
        <v>74</v>
      </c>
      <c r="AE855" t="s">
        <v>74</v>
      </c>
      <c r="AF855" t="s">
        <v>74</v>
      </c>
      <c r="AG855">
        <v>53</v>
      </c>
      <c r="AH855">
        <v>479</v>
      </c>
      <c r="AI855">
        <v>529</v>
      </c>
      <c r="AJ855">
        <v>4</v>
      </c>
      <c r="AK855">
        <v>86</v>
      </c>
      <c r="AL855" t="s">
        <v>363</v>
      </c>
      <c r="AM855" t="s">
        <v>364</v>
      </c>
      <c r="AN855" t="s">
        <v>365</v>
      </c>
      <c r="AO855" t="s">
        <v>809</v>
      </c>
      <c r="AP855" t="s">
        <v>810</v>
      </c>
      <c r="AQ855" t="s">
        <v>74</v>
      </c>
      <c r="AR855" t="s">
        <v>799</v>
      </c>
      <c r="AS855" t="s">
        <v>811</v>
      </c>
      <c r="AT855" t="s">
        <v>12244</v>
      </c>
      <c r="AU855">
        <v>2003</v>
      </c>
      <c r="AV855">
        <v>18</v>
      </c>
      <c r="AW855">
        <v>4</v>
      </c>
      <c r="AX855" t="s">
        <v>74</v>
      </c>
      <c r="AY855" t="s">
        <v>74</v>
      </c>
      <c r="AZ855" t="s">
        <v>74</v>
      </c>
      <c r="BA855" t="s">
        <v>74</v>
      </c>
      <c r="BB855" t="s">
        <v>74</v>
      </c>
      <c r="BC855" t="s">
        <v>74</v>
      </c>
      <c r="BD855">
        <v>1087</v>
      </c>
      <c r="BE855" t="s">
        <v>12245</v>
      </c>
      <c r="BF855" t="str">
        <f>HYPERLINK("http://dx.doi.org/10.1029/2003PA000920","http://dx.doi.org/10.1029/2003PA000920")</f>
        <v>http://dx.doi.org/10.1029/2003PA000920</v>
      </c>
      <c r="BG855" t="s">
        <v>74</v>
      </c>
      <c r="BH855" t="s">
        <v>74</v>
      </c>
      <c r="BI855">
        <v>9</v>
      </c>
      <c r="BJ855" t="s">
        <v>814</v>
      </c>
      <c r="BK855" t="s">
        <v>96</v>
      </c>
      <c r="BL855" t="s">
        <v>815</v>
      </c>
      <c r="BM855" t="s">
        <v>12246</v>
      </c>
      <c r="BN855" t="s">
        <v>74</v>
      </c>
      <c r="BO855" t="s">
        <v>479</v>
      </c>
      <c r="BP855" t="s">
        <v>74</v>
      </c>
      <c r="BQ855" t="s">
        <v>74</v>
      </c>
      <c r="BR855" t="s">
        <v>99</v>
      </c>
      <c r="BS855" t="s">
        <v>12247</v>
      </c>
      <c r="BT855" t="str">
        <f>HYPERLINK("https%3A%2F%2Fwww.webofscience.com%2Fwos%2Fwoscc%2Ffull-record%2FWOS:000186943400001","View Full Record in Web of Science")</f>
        <v>View Full Record in Web of Science</v>
      </c>
    </row>
    <row r="856" spans="1:72" x14ac:dyDescent="0.15">
      <c r="A856" t="s">
        <v>72</v>
      </c>
      <c r="B856" t="s">
        <v>12248</v>
      </c>
      <c r="C856" t="s">
        <v>74</v>
      </c>
      <c r="D856" t="s">
        <v>74</v>
      </c>
      <c r="E856" t="s">
        <v>74</v>
      </c>
      <c r="F856" t="s">
        <v>12248</v>
      </c>
      <c r="G856" t="s">
        <v>74</v>
      </c>
      <c r="H856" t="s">
        <v>74</v>
      </c>
      <c r="I856" t="s">
        <v>12249</v>
      </c>
      <c r="J856" t="s">
        <v>545</v>
      </c>
      <c r="K856" t="s">
        <v>74</v>
      </c>
      <c r="L856" t="s">
        <v>74</v>
      </c>
      <c r="M856" t="s">
        <v>77</v>
      </c>
      <c r="N856" t="s">
        <v>78</v>
      </c>
      <c r="O856" t="s">
        <v>74</v>
      </c>
      <c r="P856" t="s">
        <v>74</v>
      </c>
      <c r="Q856" t="s">
        <v>74</v>
      </c>
      <c r="R856" t="s">
        <v>74</v>
      </c>
      <c r="S856" t="s">
        <v>74</v>
      </c>
      <c r="T856" t="s">
        <v>74</v>
      </c>
      <c r="U856" t="s">
        <v>12250</v>
      </c>
      <c r="V856" t="s">
        <v>12251</v>
      </c>
      <c r="W856" t="s">
        <v>12252</v>
      </c>
      <c r="X856" t="s">
        <v>12253</v>
      </c>
      <c r="Y856" t="s">
        <v>12254</v>
      </c>
      <c r="Z856" t="s">
        <v>74</v>
      </c>
      <c r="AA856" t="s">
        <v>74</v>
      </c>
      <c r="AB856" t="s">
        <v>12255</v>
      </c>
      <c r="AC856" t="s">
        <v>74</v>
      </c>
      <c r="AD856" t="s">
        <v>74</v>
      </c>
      <c r="AE856" t="s">
        <v>74</v>
      </c>
      <c r="AF856" t="s">
        <v>74</v>
      </c>
      <c r="AG856">
        <v>18</v>
      </c>
      <c r="AH856">
        <v>152</v>
      </c>
      <c r="AI856">
        <v>168</v>
      </c>
      <c r="AJ856">
        <v>1</v>
      </c>
      <c r="AK856">
        <v>17</v>
      </c>
      <c r="AL856" t="s">
        <v>363</v>
      </c>
      <c r="AM856" t="s">
        <v>364</v>
      </c>
      <c r="AN856" t="s">
        <v>365</v>
      </c>
      <c r="AO856" t="s">
        <v>553</v>
      </c>
      <c r="AP856" t="s">
        <v>74</v>
      </c>
      <c r="AQ856" t="s">
        <v>74</v>
      </c>
      <c r="AR856" t="s">
        <v>555</v>
      </c>
      <c r="AS856" t="s">
        <v>556</v>
      </c>
      <c r="AT856" t="s">
        <v>12256</v>
      </c>
      <c r="AU856">
        <v>2003</v>
      </c>
      <c r="AV856">
        <v>30</v>
      </c>
      <c r="AW856">
        <v>22</v>
      </c>
      <c r="AX856" t="s">
        <v>74</v>
      </c>
      <c r="AY856" t="s">
        <v>74</v>
      </c>
      <c r="AZ856" t="s">
        <v>74</v>
      </c>
      <c r="BA856" t="s">
        <v>74</v>
      </c>
      <c r="BB856" t="s">
        <v>74</v>
      </c>
      <c r="BC856" t="s">
        <v>74</v>
      </c>
      <c r="BD856">
        <v>2164</v>
      </c>
      <c r="BE856" t="s">
        <v>12257</v>
      </c>
      <c r="BF856" t="str">
        <f>HYPERLINK("http://dx.doi.org/10.1029/2003GL018628","http://dx.doi.org/10.1029/2003GL018628")</f>
        <v>http://dx.doi.org/10.1029/2003GL018628</v>
      </c>
      <c r="BG856" t="s">
        <v>74</v>
      </c>
      <c r="BH856" t="s">
        <v>74</v>
      </c>
      <c r="BI856">
        <v>4</v>
      </c>
      <c r="BJ856" t="s">
        <v>560</v>
      </c>
      <c r="BK856" t="s">
        <v>96</v>
      </c>
      <c r="BL856" t="s">
        <v>561</v>
      </c>
      <c r="BM856" t="s">
        <v>12258</v>
      </c>
      <c r="BN856" t="s">
        <v>74</v>
      </c>
      <c r="BO856" t="s">
        <v>541</v>
      </c>
      <c r="BP856" t="s">
        <v>74</v>
      </c>
      <c r="BQ856" t="s">
        <v>74</v>
      </c>
      <c r="BR856" t="s">
        <v>99</v>
      </c>
      <c r="BS856" t="s">
        <v>12259</v>
      </c>
      <c r="BT856" t="str">
        <f>HYPERLINK("https%3A%2F%2Fwww.webofscience.com%2Fwos%2Fwoscc%2Ffull-record%2FWOS:000186939600005","View Full Record in Web of Science")</f>
        <v>View Full Record in Web of Science</v>
      </c>
    </row>
    <row r="857" spans="1:72" x14ac:dyDescent="0.15">
      <c r="A857" t="s">
        <v>72</v>
      </c>
      <c r="B857" t="s">
        <v>12260</v>
      </c>
      <c r="C857" t="s">
        <v>74</v>
      </c>
      <c r="D857" t="s">
        <v>74</v>
      </c>
      <c r="E857" t="s">
        <v>74</v>
      </c>
      <c r="F857" t="s">
        <v>12260</v>
      </c>
      <c r="G857" t="s">
        <v>74</v>
      </c>
      <c r="H857" t="s">
        <v>74</v>
      </c>
      <c r="I857" t="s">
        <v>12261</v>
      </c>
      <c r="J857" t="s">
        <v>545</v>
      </c>
      <c r="K857" t="s">
        <v>74</v>
      </c>
      <c r="L857" t="s">
        <v>74</v>
      </c>
      <c r="M857" t="s">
        <v>77</v>
      </c>
      <c r="N857" t="s">
        <v>78</v>
      </c>
      <c r="O857" t="s">
        <v>74</v>
      </c>
      <c r="P857" t="s">
        <v>74</v>
      </c>
      <c r="Q857" t="s">
        <v>74</v>
      </c>
      <c r="R857" t="s">
        <v>74</v>
      </c>
      <c r="S857" t="s">
        <v>74</v>
      </c>
      <c r="T857" t="s">
        <v>74</v>
      </c>
      <c r="U857" t="s">
        <v>12262</v>
      </c>
      <c r="V857" t="s">
        <v>12263</v>
      </c>
      <c r="W857" t="s">
        <v>647</v>
      </c>
      <c r="X857" t="s">
        <v>82</v>
      </c>
      <c r="Y857" t="s">
        <v>12264</v>
      </c>
      <c r="Z857" t="s">
        <v>74</v>
      </c>
      <c r="AA857" t="s">
        <v>10696</v>
      </c>
      <c r="AB857" t="s">
        <v>10697</v>
      </c>
      <c r="AC857" t="s">
        <v>74</v>
      </c>
      <c r="AD857" t="s">
        <v>74</v>
      </c>
      <c r="AE857" t="s">
        <v>74</v>
      </c>
      <c r="AF857" t="s">
        <v>74</v>
      </c>
      <c r="AG857">
        <v>32</v>
      </c>
      <c r="AH857">
        <v>123</v>
      </c>
      <c r="AI857">
        <v>137</v>
      </c>
      <c r="AJ857">
        <v>0</v>
      </c>
      <c r="AK857">
        <v>20</v>
      </c>
      <c r="AL857" t="s">
        <v>363</v>
      </c>
      <c r="AM857" t="s">
        <v>364</v>
      </c>
      <c r="AN857" t="s">
        <v>365</v>
      </c>
      <c r="AO857" t="s">
        <v>553</v>
      </c>
      <c r="AP857" t="s">
        <v>74</v>
      </c>
      <c r="AQ857" t="s">
        <v>74</v>
      </c>
      <c r="AR857" t="s">
        <v>555</v>
      </c>
      <c r="AS857" t="s">
        <v>556</v>
      </c>
      <c r="AT857" t="s">
        <v>12265</v>
      </c>
      <c r="AU857">
        <v>2003</v>
      </c>
      <c r="AV857">
        <v>30</v>
      </c>
      <c r="AW857">
        <v>22</v>
      </c>
      <c r="AX857" t="s">
        <v>74</v>
      </c>
      <c r="AY857" t="s">
        <v>74</v>
      </c>
      <c r="AZ857" t="s">
        <v>74</v>
      </c>
      <c r="BA857" t="s">
        <v>74</v>
      </c>
      <c r="BB857" t="s">
        <v>74</v>
      </c>
      <c r="BC857" t="s">
        <v>74</v>
      </c>
      <c r="BD857">
        <v>2158</v>
      </c>
      <c r="BE857" t="s">
        <v>12266</v>
      </c>
      <c r="BF857" t="str">
        <f>HYPERLINK("http://dx.doi.org/10.1029/2003GL018454","http://dx.doi.org/10.1029/2003GL018454")</f>
        <v>http://dx.doi.org/10.1029/2003GL018454</v>
      </c>
      <c r="BG857" t="s">
        <v>74</v>
      </c>
      <c r="BH857" t="s">
        <v>74</v>
      </c>
      <c r="BI857">
        <v>4</v>
      </c>
      <c r="BJ857" t="s">
        <v>560</v>
      </c>
      <c r="BK857" t="s">
        <v>96</v>
      </c>
      <c r="BL857" t="s">
        <v>561</v>
      </c>
      <c r="BM857" t="s">
        <v>12267</v>
      </c>
      <c r="BN857" t="s">
        <v>74</v>
      </c>
      <c r="BO857" t="s">
        <v>541</v>
      </c>
      <c r="BP857" t="s">
        <v>74</v>
      </c>
      <c r="BQ857" t="s">
        <v>74</v>
      </c>
      <c r="BR857" t="s">
        <v>99</v>
      </c>
      <c r="BS857" t="s">
        <v>12268</v>
      </c>
      <c r="BT857" t="str">
        <f>HYPERLINK("https%3A%2F%2Fwww.webofscience.com%2Fwos%2Fwoscc%2Ffull-record%2FWOS:000186898200004","View Full Record in Web of Science")</f>
        <v>View Full Record in Web of Science</v>
      </c>
    </row>
    <row r="858" spans="1:72" x14ac:dyDescent="0.15">
      <c r="A858" t="s">
        <v>72</v>
      </c>
      <c r="B858" t="s">
        <v>12269</v>
      </c>
      <c r="C858" t="s">
        <v>74</v>
      </c>
      <c r="D858" t="s">
        <v>74</v>
      </c>
      <c r="E858" t="s">
        <v>74</v>
      </c>
      <c r="F858" t="s">
        <v>12269</v>
      </c>
      <c r="G858" t="s">
        <v>74</v>
      </c>
      <c r="H858" t="s">
        <v>74</v>
      </c>
      <c r="I858" t="s">
        <v>12270</v>
      </c>
      <c r="J858" t="s">
        <v>12271</v>
      </c>
      <c r="K858" t="s">
        <v>74</v>
      </c>
      <c r="L858" t="s">
        <v>74</v>
      </c>
      <c r="M858" t="s">
        <v>77</v>
      </c>
      <c r="N858" t="s">
        <v>78</v>
      </c>
      <c r="O858" t="s">
        <v>74</v>
      </c>
      <c r="P858" t="s">
        <v>74</v>
      </c>
      <c r="Q858" t="s">
        <v>74</v>
      </c>
      <c r="R858" t="s">
        <v>74</v>
      </c>
      <c r="S858" t="s">
        <v>74</v>
      </c>
      <c r="T858" t="s">
        <v>12272</v>
      </c>
      <c r="U858" t="s">
        <v>74</v>
      </c>
      <c r="V858" t="s">
        <v>12273</v>
      </c>
      <c r="W858" t="s">
        <v>12274</v>
      </c>
      <c r="X858" t="s">
        <v>3201</v>
      </c>
      <c r="Y858" t="s">
        <v>12275</v>
      </c>
      <c r="Z858" t="s">
        <v>74</v>
      </c>
      <c r="AA858" t="s">
        <v>3204</v>
      </c>
      <c r="AB858" t="s">
        <v>3205</v>
      </c>
      <c r="AC858" t="s">
        <v>74</v>
      </c>
      <c r="AD858" t="s">
        <v>74</v>
      </c>
      <c r="AE858" t="s">
        <v>74</v>
      </c>
      <c r="AF858" t="s">
        <v>74</v>
      </c>
      <c r="AG858">
        <v>55</v>
      </c>
      <c r="AH858">
        <v>35</v>
      </c>
      <c r="AI858">
        <v>35</v>
      </c>
      <c r="AJ858">
        <v>0</v>
      </c>
      <c r="AK858">
        <v>0</v>
      </c>
      <c r="AL858" t="s">
        <v>2642</v>
      </c>
      <c r="AM858" t="s">
        <v>2643</v>
      </c>
      <c r="AN858" t="s">
        <v>5906</v>
      </c>
      <c r="AO858" t="s">
        <v>12276</v>
      </c>
      <c r="AP858" t="s">
        <v>74</v>
      </c>
      <c r="AQ858" t="s">
        <v>74</v>
      </c>
      <c r="AR858" t="s">
        <v>12277</v>
      </c>
      <c r="AS858" t="s">
        <v>12278</v>
      </c>
      <c r="AT858" t="s">
        <v>12279</v>
      </c>
      <c r="AU858">
        <v>2003</v>
      </c>
      <c r="AV858">
        <v>37</v>
      </c>
      <c r="AW858">
        <v>22</v>
      </c>
      <c r="AX858" t="s">
        <v>74</v>
      </c>
      <c r="AY858" t="s">
        <v>74</v>
      </c>
      <c r="AZ858" t="s">
        <v>74</v>
      </c>
      <c r="BA858" t="s">
        <v>74</v>
      </c>
      <c r="BB858">
        <v>2653</v>
      </c>
      <c r="BC858">
        <v>2722</v>
      </c>
      <c r="BD858" t="s">
        <v>74</v>
      </c>
      <c r="BE858" t="s">
        <v>12280</v>
      </c>
      <c r="BF858" t="str">
        <f>HYPERLINK("http://dx.doi.org/10.1080/00222930210155701","http://dx.doi.org/10.1080/00222930210155701")</f>
        <v>http://dx.doi.org/10.1080/00222930210155701</v>
      </c>
      <c r="BG858" t="s">
        <v>74</v>
      </c>
      <c r="BH858" t="s">
        <v>74</v>
      </c>
      <c r="BI858">
        <v>70</v>
      </c>
      <c r="BJ858" t="s">
        <v>12281</v>
      </c>
      <c r="BK858" t="s">
        <v>96</v>
      </c>
      <c r="BL858" t="s">
        <v>12282</v>
      </c>
      <c r="BM858" t="s">
        <v>12283</v>
      </c>
      <c r="BN858" t="s">
        <v>74</v>
      </c>
      <c r="BO858" t="s">
        <v>74</v>
      </c>
      <c r="BP858" t="s">
        <v>74</v>
      </c>
      <c r="BQ858" t="s">
        <v>74</v>
      </c>
      <c r="BR858" t="s">
        <v>99</v>
      </c>
      <c r="BS858" t="s">
        <v>12284</v>
      </c>
      <c r="BT858" t="str">
        <f>HYPERLINK("https%3A%2F%2Fwww.webofscience.com%2Fwos%2Fwoscc%2Ffull-record%2FWOS:000186109900002","View Full Record in Web of Science")</f>
        <v>View Full Record in Web of Science</v>
      </c>
    </row>
    <row r="859" spans="1:72" x14ac:dyDescent="0.15">
      <c r="A859" t="s">
        <v>72</v>
      </c>
      <c r="B859" t="s">
        <v>4998</v>
      </c>
      <c r="C859" t="s">
        <v>74</v>
      </c>
      <c r="D859" t="s">
        <v>74</v>
      </c>
      <c r="E859" t="s">
        <v>74</v>
      </c>
      <c r="F859" t="s">
        <v>4998</v>
      </c>
      <c r="G859" t="s">
        <v>74</v>
      </c>
      <c r="H859" t="s">
        <v>74</v>
      </c>
      <c r="I859" t="s">
        <v>12285</v>
      </c>
      <c r="J859" t="s">
        <v>781</v>
      </c>
      <c r="K859" t="s">
        <v>74</v>
      </c>
      <c r="L859" t="s">
        <v>74</v>
      </c>
      <c r="M859" t="s">
        <v>77</v>
      </c>
      <c r="N859" t="s">
        <v>78</v>
      </c>
      <c r="O859" t="s">
        <v>74</v>
      </c>
      <c r="P859" t="s">
        <v>74</v>
      </c>
      <c r="Q859" t="s">
        <v>74</v>
      </c>
      <c r="R859" t="s">
        <v>74</v>
      </c>
      <c r="S859" t="s">
        <v>74</v>
      </c>
      <c r="T859" t="s">
        <v>12286</v>
      </c>
      <c r="U859" t="s">
        <v>12287</v>
      </c>
      <c r="V859" t="s">
        <v>12288</v>
      </c>
      <c r="W859" t="s">
        <v>12289</v>
      </c>
      <c r="X859" t="s">
        <v>12290</v>
      </c>
      <c r="Y859" t="s">
        <v>12291</v>
      </c>
      <c r="Z859" t="s">
        <v>12292</v>
      </c>
      <c r="AA859" t="s">
        <v>12293</v>
      </c>
      <c r="AB859" t="s">
        <v>12294</v>
      </c>
      <c r="AC859" t="s">
        <v>74</v>
      </c>
      <c r="AD859" t="s">
        <v>74</v>
      </c>
      <c r="AE859" t="s">
        <v>74</v>
      </c>
      <c r="AF859" t="s">
        <v>74</v>
      </c>
      <c r="AG859">
        <v>52</v>
      </c>
      <c r="AH859">
        <v>26</v>
      </c>
      <c r="AI859">
        <v>29</v>
      </c>
      <c r="AJ859">
        <v>2</v>
      </c>
      <c r="AK859">
        <v>14</v>
      </c>
      <c r="AL859" t="s">
        <v>363</v>
      </c>
      <c r="AM859" t="s">
        <v>364</v>
      </c>
      <c r="AN859" t="s">
        <v>365</v>
      </c>
      <c r="AO859" t="s">
        <v>788</v>
      </c>
      <c r="AP859" t="s">
        <v>789</v>
      </c>
      <c r="AQ859" t="s">
        <v>74</v>
      </c>
      <c r="AR859" t="s">
        <v>790</v>
      </c>
      <c r="AS859" t="s">
        <v>791</v>
      </c>
      <c r="AT859" t="s">
        <v>12295</v>
      </c>
      <c r="AU859">
        <v>2003</v>
      </c>
      <c r="AV859">
        <v>108</v>
      </c>
      <c r="AW859" t="s">
        <v>792</v>
      </c>
      <c r="AX859" t="s">
        <v>74</v>
      </c>
      <c r="AY859" t="s">
        <v>74</v>
      </c>
      <c r="AZ859" t="s">
        <v>74</v>
      </c>
      <c r="BA859" t="s">
        <v>74</v>
      </c>
      <c r="BB859" t="s">
        <v>74</v>
      </c>
      <c r="BC859" t="s">
        <v>74</v>
      </c>
      <c r="BD859" t="s">
        <v>12296</v>
      </c>
      <c r="BE859" t="s">
        <v>12297</v>
      </c>
      <c r="BF859" t="str">
        <f>HYPERLINK("http://dx.doi.org/10.1029/2003JF000039","http://dx.doi.org/10.1029/2003JF000039")</f>
        <v>http://dx.doi.org/10.1029/2003JF000039</v>
      </c>
      <c r="BG859" t="s">
        <v>74</v>
      </c>
      <c r="BH859" t="s">
        <v>74</v>
      </c>
      <c r="BI859">
        <v>11</v>
      </c>
      <c r="BJ859" t="s">
        <v>560</v>
      </c>
      <c r="BK859" t="s">
        <v>96</v>
      </c>
      <c r="BL859" t="s">
        <v>561</v>
      </c>
      <c r="BM859" t="s">
        <v>12298</v>
      </c>
      <c r="BN859" t="s">
        <v>74</v>
      </c>
      <c r="BO859" t="s">
        <v>541</v>
      </c>
      <c r="BP859" t="s">
        <v>74</v>
      </c>
      <c r="BQ859" t="s">
        <v>74</v>
      </c>
      <c r="BR859" t="s">
        <v>99</v>
      </c>
      <c r="BS859" t="s">
        <v>12299</v>
      </c>
      <c r="BT859" t="str">
        <f>HYPERLINK("https%3A%2F%2Fwww.webofscience.com%2Fwos%2Fwoscc%2Ffull-record%2FWOS:000224566200001","View Full Record in Web of Science")</f>
        <v>View Full Record in Web of Science</v>
      </c>
    </row>
    <row r="860" spans="1:72" x14ac:dyDescent="0.15">
      <c r="A860" t="s">
        <v>72</v>
      </c>
      <c r="B860" t="s">
        <v>12300</v>
      </c>
      <c r="C860" t="s">
        <v>74</v>
      </c>
      <c r="D860" t="s">
        <v>74</v>
      </c>
      <c r="E860" t="s">
        <v>74</v>
      </c>
      <c r="F860" t="s">
        <v>12300</v>
      </c>
      <c r="G860" t="s">
        <v>74</v>
      </c>
      <c r="H860" t="s">
        <v>74</v>
      </c>
      <c r="I860" t="s">
        <v>12301</v>
      </c>
      <c r="J860" t="s">
        <v>12302</v>
      </c>
      <c r="K860" t="s">
        <v>74</v>
      </c>
      <c r="L860" t="s">
        <v>74</v>
      </c>
      <c r="M860" t="s">
        <v>77</v>
      </c>
      <c r="N860" t="s">
        <v>78</v>
      </c>
      <c r="O860" t="s">
        <v>74</v>
      </c>
      <c r="P860" t="s">
        <v>74</v>
      </c>
      <c r="Q860" t="s">
        <v>74</v>
      </c>
      <c r="R860" t="s">
        <v>74</v>
      </c>
      <c r="S860" t="s">
        <v>74</v>
      </c>
      <c r="T860" t="s">
        <v>12303</v>
      </c>
      <c r="U860" t="s">
        <v>12304</v>
      </c>
      <c r="V860" t="s">
        <v>12305</v>
      </c>
      <c r="W860" t="s">
        <v>12306</v>
      </c>
      <c r="X860" t="s">
        <v>12307</v>
      </c>
      <c r="Y860" t="s">
        <v>12308</v>
      </c>
      <c r="Z860" t="s">
        <v>74</v>
      </c>
      <c r="AA860" t="s">
        <v>74</v>
      </c>
      <c r="AB860" t="s">
        <v>74</v>
      </c>
      <c r="AC860" t="s">
        <v>74</v>
      </c>
      <c r="AD860" t="s">
        <v>74</v>
      </c>
      <c r="AE860" t="s">
        <v>74</v>
      </c>
      <c r="AF860" t="s">
        <v>74</v>
      </c>
      <c r="AG860">
        <v>28</v>
      </c>
      <c r="AH860">
        <v>3</v>
      </c>
      <c r="AI860">
        <v>4</v>
      </c>
      <c r="AJ860">
        <v>0</v>
      </c>
      <c r="AK860">
        <v>1</v>
      </c>
      <c r="AL860" t="s">
        <v>363</v>
      </c>
      <c r="AM860" t="s">
        <v>364</v>
      </c>
      <c r="AN860" t="s">
        <v>365</v>
      </c>
      <c r="AO860" t="s">
        <v>12309</v>
      </c>
      <c r="AP860" t="s">
        <v>74</v>
      </c>
      <c r="AQ860" t="s">
        <v>74</v>
      </c>
      <c r="AR860" t="s">
        <v>12310</v>
      </c>
      <c r="AS860" t="s">
        <v>12311</v>
      </c>
      <c r="AT860" t="s">
        <v>12295</v>
      </c>
      <c r="AU860">
        <v>2003</v>
      </c>
      <c r="AV860">
        <v>38</v>
      </c>
      <c r="AW860">
        <v>6</v>
      </c>
      <c r="AX860" t="s">
        <v>74</v>
      </c>
      <c r="AY860" t="s">
        <v>74</v>
      </c>
      <c r="AZ860" t="s">
        <v>74</v>
      </c>
      <c r="BA860" t="s">
        <v>74</v>
      </c>
      <c r="BB860" t="s">
        <v>74</v>
      </c>
      <c r="BC860" t="s">
        <v>74</v>
      </c>
      <c r="BD860">
        <v>1097</v>
      </c>
      <c r="BE860" t="s">
        <v>12312</v>
      </c>
      <c r="BF860" t="str">
        <f>HYPERLINK("http://dx.doi.org/10.1029/2002RS002735","http://dx.doi.org/10.1029/2002RS002735")</f>
        <v>http://dx.doi.org/10.1029/2002RS002735</v>
      </c>
      <c r="BG860" t="s">
        <v>74</v>
      </c>
      <c r="BH860" t="s">
        <v>74</v>
      </c>
      <c r="BI860">
        <v>15</v>
      </c>
      <c r="BJ860" t="s">
        <v>12313</v>
      </c>
      <c r="BK860" t="s">
        <v>96</v>
      </c>
      <c r="BL860" t="s">
        <v>12313</v>
      </c>
      <c r="BM860" t="s">
        <v>12314</v>
      </c>
      <c r="BN860" t="s">
        <v>74</v>
      </c>
      <c r="BO860" t="s">
        <v>541</v>
      </c>
      <c r="BP860" t="s">
        <v>74</v>
      </c>
      <c r="BQ860" t="s">
        <v>74</v>
      </c>
      <c r="BR860" t="s">
        <v>99</v>
      </c>
      <c r="BS860" t="s">
        <v>12315</v>
      </c>
      <c r="BT860" t="str">
        <f>HYPERLINK("https%3A%2F%2Fwww.webofscience.com%2Fwos%2Fwoscc%2Ffull-record%2FWOS:000186900400002","View Full Record in Web of Science")</f>
        <v>View Full Record in Web of Science</v>
      </c>
    </row>
    <row r="861" spans="1:72" x14ac:dyDescent="0.15">
      <c r="A861" t="s">
        <v>72</v>
      </c>
      <c r="B861" t="s">
        <v>12316</v>
      </c>
      <c r="C861" t="s">
        <v>74</v>
      </c>
      <c r="D861" t="s">
        <v>74</v>
      </c>
      <c r="E861" t="s">
        <v>74</v>
      </c>
      <c r="F861" t="s">
        <v>12316</v>
      </c>
      <c r="G861" t="s">
        <v>74</v>
      </c>
      <c r="H861" t="s">
        <v>74</v>
      </c>
      <c r="I861" t="s">
        <v>12317</v>
      </c>
      <c r="J861" t="s">
        <v>545</v>
      </c>
      <c r="K861" t="s">
        <v>74</v>
      </c>
      <c r="L861" t="s">
        <v>74</v>
      </c>
      <c r="M861" t="s">
        <v>77</v>
      </c>
      <c r="N861" t="s">
        <v>78</v>
      </c>
      <c r="O861" t="s">
        <v>74</v>
      </c>
      <c r="P861" t="s">
        <v>74</v>
      </c>
      <c r="Q861" t="s">
        <v>74</v>
      </c>
      <c r="R861" t="s">
        <v>74</v>
      </c>
      <c r="S861" t="s">
        <v>74</v>
      </c>
      <c r="T861" t="s">
        <v>74</v>
      </c>
      <c r="U861" t="s">
        <v>12318</v>
      </c>
      <c r="V861" t="s">
        <v>12319</v>
      </c>
      <c r="W861" t="s">
        <v>12320</v>
      </c>
      <c r="X861" t="s">
        <v>12321</v>
      </c>
      <c r="Y861" t="s">
        <v>12322</v>
      </c>
      <c r="Z861" t="s">
        <v>12323</v>
      </c>
      <c r="AA861" t="s">
        <v>12324</v>
      </c>
      <c r="AB861" t="s">
        <v>12325</v>
      </c>
      <c r="AC861" t="s">
        <v>74</v>
      </c>
      <c r="AD861" t="s">
        <v>74</v>
      </c>
      <c r="AE861" t="s">
        <v>74</v>
      </c>
      <c r="AF861" t="s">
        <v>74</v>
      </c>
      <c r="AG861">
        <v>21</v>
      </c>
      <c r="AH861">
        <v>25</v>
      </c>
      <c r="AI861">
        <v>25</v>
      </c>
      <c r="AJ861">
        <v>1</v>
      </c>
      <c r="AK861">
        <v>3</v>
      </c>
      <c r="AL861" t="s">
        <v>363</v>
      </c>
      <c r="AM861" t="s">
        <v>364</v>
      </c>
      <c r="AN861" t="s">
        <v>365</v>
      </c>
      <c r="AO861" t="s">
        <v>553</v>
      </c>
      <c r="AP861" t="s">
        <v>554</v>
      </c>
      <c r="AQ861" t="s">
        <v>74</v>
      </c>
      <c r="AR861" t="s">
        <v>555</v>
      </c>
      <c r="AS861" t="s">
        <v>556</v>
      </c>
      <c r="AT861" t="s">
        <v>12326</v>
      </c>
      <c r="AU861">
        <v>2003</v>
      </c>
      <c r="AV861">
        <v>30</v>
      </c>
      <c r="AW861">
        <v>22</v>
      </c>
      <c r="AX861" t="s">
        <v>74</v>
      </c>
      <c r="AY861" t="s">
        <v>74</v>
      </c>
      <c r="AZ861" t="s">
        <v>74</v>
      </c>
      <c r="BA861" t="s">
        <v>74</v>
      </c>
      <c r="BB861" t="s">
        <v>74</v>
      </c>
      <c r="BC861" t="s">
        <v>74</v>
      </c>
      <c r="BD861">
        <v>2138</v>
      </c>
      <c r="BE861" t="s">
        <v>12327</v>
      </c>
      <c r="BF861" t="str">
        <f>HYPERLINK("http://dx.doi.org/10.1029/2003GL018411","http://dx.doi.org/10.1029/2003GL018411")</f>
        <v>http://dx.doi.org/10.1029/2003GL018411</v>
      </c>
      <c r="BG861" t="s">
        <v>74</v>
      </c>
      <c r="BH861" t="s">
        <v>74</v>
      </c>
      <c r="BI861">
        <v>5</v>
      </c>
      <c r="BJ861" t="s">
        <v>560</v>
      </c>
      <c r="BK861" t="s">
        <v>96</v>
      </c>
      <c r="BL861" t="s">
        <v>561</v>
      </c>
      <c r="BM861" t="s">
        <v>12328</v>
      </c>
      <c r="BN861" t="s">
        <v>74</v>
      </c>
      <c r="BO861" t="s">
        <v>541</v>
      </c>
      <c r="BP861" t="s">
        <v>74</v>
      </c>
      <c r="BQ861" t="s">
        <v>74</v>
      </c>
      <c r="BR861" t="s">
        <v>99</v>
      </c>
      <c r="BS861" t="s">
        <v>12329</v>
      </c>
      <c r="BT861" t="str">
        <f>HYPERLINK("https%3A%2F%2Fwww.webofscience.com%2Fwos%2Fwoscc%2Ffull-record%2FWOS:000186897800005","View Full Record in Web of Science")</f>
        <v>View Full Record in Web of Science</v>
      </c>
    </row>
    <row r="862" spans="1:72" x14ac:dyDescent="0.15">
      <c r="A862" t="s">
        <v>72</v>
      </c>
      <c r="B862" t="s">
        <v>12330</v>
      </c>
      <c r="C862" t="s">
        <v>74</v>
      </c>
      <c r="D862" t="s">
        <v>74</v>
      </c>
      <c r="E862" t="s">
        <v>74</v>
      </c>
      <c r="F862" t="s">
        <v>12330</v>
      </c>
      <c r="G862" t="s">
        <v>74</v>
      </c>
      <c r="H862" t="s">
        <v>74</v>
      </c>
      <c r="I862" t="s">
        <v>12331</v>
      </c>
      <c r="J862" t="s">
        <v>419</v>
      </c>
      <c r="K862" t="s">
        <v>74</v>
      </c>
      <c r="L862" t="s">
        <v>74</v>
      </c>
      <c r="M862" t="s">
        <v>77</v>
      </c>
      <c r="N862" t="s">
        <v>78</v>
      </c>
      <c r="O862" t="s">
        <v>74</v>
      </c>
      <c r="P862" t="s">
        <v>74</v>
      </c>
      <c r="Q862" t="s">
        <v>74</v>
      </c>
      <c r="R862" t="s">
        <v>74</v>
      </c>
      <c r="S862" t="s">
        <v>74</v>
      </c>
      <c r="T862" t="s">
        <v>12332</v>
      </c>
      <c r="U862" t="s">
        <v>12333</v>
      </c>
      <c r="V862" t="s">
        <v>12334</v>
      </c>
      <c r="W862" t="s">
        <v>12335</v>
      </c>
      <c r="X862" t="s">
        <v>7378</v>
      </c>
      <c r="Y862" t="s">
        <v>12336</v>
      </c>
      <c r="Z862" t="s">
        <v>12337</v>
      </c>
      <c r="AA862" t="s">
        <v>74</v>
      </c>
      <c r="AB862" t="s">
        <v>74</v>
      </c>
      <c r="AC862" t="s">
        <v>74</v>
      </c>
      <c r="AD862" t="s">
        <v>74</v>
      </c>
      <c r="AE862" t="s">
        <v>74</v>
      </c>
      <c r="AF862" t="s">
        <v>74</v>
      </c>
      <c r="AG862">
        <v>46</v>
      </c>
      <c r="AH862">
        <v>30</v>
      </c>
      <c r="AI862">
        <v>32</v>
      </c>
      <c r="AJ862">
        <v>0</v>
      </c>
      <c r="AK862">
        <v>9</v>
      </c>
      <c r="AL862" t="s">
        <v>363</v>
      </c>
      <c r="AM862" t="s">
        <v>364</v>
      </c>
      <c r="AN862" t="s">
        <v>365</v>
      </c>
      <c r="AO862" t="s">
        <v>429</v>
      </c>
      <c r="AP862" t="s">
        <v>430</v>
      </c>
      <c r="AQ862" t="s">
        <v>74</v>
      </c>
      <c r="AR862" t="s">
        <v>431</v>
      </c>
      <c r="AS862" t="s">
        <v>432</v>
      </c>
      <c r="AT862" t="s">
        <v>12326</v>
      </c>
      <c r="AU862">
        <v>2003</v>
      </c>
      <c r="AV862">
        <v>108</v>
      </c>
      <c r="AW862" t="s">
        <v>12200</v>
      </c>
      <c r="AX862" t="s">
        <v>74</v>
      </c>
      <c r="AY862" t="s">
        <v>74</v>
      </c>
      <c r="AZ862" t="s">
        <v>74</v>
      </c>
      <c r="BA862" t="s">
        <v>74</v>
      </c>
      <c r="BB862" t="s">
        <v>74</v>
      </c>
      <c r="BC862" t="s">
        <v>74</v>
      </c>
      <c r="BD862">
        <v>4687</v>
      </c>
      <c r="BE862" t="s">
        <v>12338</v>
      </c>
      <c r="BF862" t="str">
        <f>HYPERLINK("http://dx.doi.org/10.1029/2002JD003308","http://dx.doi.org/10.1029/2002JD003308")</f>
        <v>http://dx.doi.org/10.1029/2002JD003308</v>
      </c>
      <c r="BG862" t="s">
        <v>74</v>
      </c>
      <c r="BH862" t="s">
        <v>74</v>
      </c>
      <c r="BI862">
        <v>11</v>
      </c>
      <c r="BJ862" t="s">
        <v>186</v>
      </c>
      <c r="BK862" t="s">
        <v>96</v>
      </c>
      <c r="BL862" t="s">
        <v>186</v>
      </c>
      <c r="BM862" t="s">
        <v>12339</v>
      </c>
      <c r="BN862" t="s">
        <v>74</v>
      </c>
      <c r="BO862" t="s">
        <v>541</v>
      </c>
      <c r="BP862" t="s">
        <v>74</v>
      </c>
      <c r="BQ862" t="s">
        <v>74</v>
      </c>
      <c r="BR862" t="s">
        <v>99</v>
      </c>
      <c r="BS862" t="s">
        <v>12340</v>
      </c>
      <c r="BT862" t="str">
        <f>HYPERLINK("https%3A%2F%2Fwww.webofscience.com%2Fwos%2Fwoscc%2Ffull-record%2FWOS:000186898500001","View Full Record in Web of Science")</f>
        <v>View Full Record in Web of Science</v>
      </c>
    </row>
    <row r="863" spans="1:72" x14ac:dyDescent="0.15">
      <c r="A863" t="s">
        <v>72</v>
      </c>
      <c r="B863" t="s">
        <v>12341</v>
      </c>
      <c r="C863" t="s">
        <v>74</v>
      </c>
      <c r="D863" t="s">
        <v>74</v>
      </c>
      <c r="E863" t="s">
        <v>74</v>
      </c>
      <c r="F863" t="s">
        <v>12341</v>
      </c>
      <c r="G863" t="s">
        <v>74</v>
      </c>
      <c r="H863" t="s">
        <v>74</v>
      </c>
      <c r="I863" t="s">
        <v>12342</v>
      </c>
      <c r="J863" t="s">
        <v>2128</v>
      </c>
      <c r="K863" t="s">
        <v>74</v>
      </c>
      <c r="L863" t="s">
        <v>74</v>
      </c>
      <c r="M863" t="s">
        <v>77</v>
      </c>
      <c r="N863" t="s">
        <v>78</v>
      </c>
      <c r="O863" t="s">
        <v>74</v>
      </c>
      <c r="P863" t="s">
        <v>74</v>
      </c>
      <c r="Q863" t="s">
        <v>74</v>
      </c>
      <c r="R863" t="s">
        <v>74</v>
      </c>
      <c r="S863" t="s">
        <v>74</v>
      </c>
      <c r="T863" t="s">
        <v>12343</v>
      </c>
      <c r="U863" t="s">
        <v>12344</v>
      </c>
      <c r="V863" t="s">
        <v>12345</v>
      </c>
      <c r="W863" t="s">
        <v>12346</v>
      </c>
      <c r="X863" t="s">
        <v>12347</v>
      </c>
      <c r="Y863" t="s">
        <v>12348</v>
      </c>
      <c r="Z863" t="s">
        <v>74</v>
      </c>
      <c r="AA863" t="s">
        <v>74</v>
      </c>
      <c r="AB863" t="s">
        <v>74</v>
      </c>
      <c r="AC863" t="s">
        <v>74</v>
      </c>
      <c r="AD863" t="s">
        <v>74</v>
      </c>
      <c r="AE863" t="s">
        <v>74</v>
      </c>
      <c r="AF863" t="s">
        <v>74</v>
      </c>
      <c r="AG863">
        <v>54</v>
      </c>
      <c r="AH863">
        <v>42</v>
      </c>
      <c r="AI863">
        <v>49</v>
      </c>
      <c r="AJ863">
        <v>1</v>
      </c>
      <c r="AK863">
        <v>17</v>
      </c>
      <c r="AL863" t="s">
        <v>528</v>
      </c>
      <c r="AM863" t="s">
        <v>529</v>
      </c>
      <c r="AN863" t="s">
        <v>530</v>
      </c>
      <c r="AO863" t="s">
        <v>2138</v>
      </c>
      <c r="AP863" t="s">
        <v>74</v>
      </c>
      <c r="AQ863" t="s">
        <v>74</v>
      </c>
      <c r="AR863" t="s">
        <v>2140</v>
      </c>
      <c r="AS863" t="s">
        <v>2141</v>
      </c>
      <c r="AT863" t="s">
        <v>12349</v>
      </c>
      <c r="AU863">
        <v>2003</v>
      </c>
      <c r="AV863">
        <v>216</v>
      </c>
      <c r="AW863" t="s">
        <v>536</v>
      </c>
      <c r="AX863" t="s">
        <v>74</v>
      </c>
      <c r="AY863" t="s">
        <v>74</v>
      </c>
      <c r="AZ863" t="s">
        <v>74</v>
      </c>
      <c r="BA863" t="s">
        <v>74</v>
      </c>
      <c r="BB863">
        <v>93</v>
      </c>
      <c r="BC863">
        <v>107</v>
      </c>
      <c r="BD863" t="s">
        <v>74</v>
      </c>
      <c r="BE863" t="s">
        <v>12350</v>
      </c>
      <c r="BF863" t="str">
        <f>HYPERLINK("http://dx.doi.org/10.1016/S0012-821X(03)00509-0","http://dx.doi.org/10.1016/S0012-821X(03)00509-0")</f>
        <v>http://dx.doi.org/10.1016/S0012-821X(03)00509-0</v>
      </c>
      <c r="BG863" t="s">
        <v>74</v>
      </c>
      <c r="BH863" t="s">
        <v>74</v>
      </c>
      <c r="BI863">
        <v>15</v>
      </c>
      <c r="BJ863" t="s">
        <v>262</v>
      </c>
      <c r="BK863" t="s">
        <v>96</v>
      </c>
      <c r="BL863" t="s">
        <v>262</v>
      </c>
      <c r="BM863" t="s">
        <v>12351</v>
      </c>
      <c r="BN863" t="s">
        <v>74</v>
      </c>
      <c r="BO863" t="s">
        <v>74</v>
      </c>
      <c r="BP863" t="s">
        <v>74</v>
      </c>
      <c r="BQ863" t="s">
        <v>74</v>
      </c>
      <c r="BR863" t="s">
        <v>99</v>
      </c>
      <c r="BS863" t="s">
        <v>12352</v>
      </c>
      <c r="BT863" t="str">
        <f>HYPERLINK("https%3A%2F%2Fwww.webofscience.com%2Fwos%2Fwoscc%2Ffull-record%2FWOS:000186856300008","View Full Record in Web of Science")</f>
        <v>View Full Record in Web of Science</v>
      </c>
    </row>
    <row r="864" spans="1:72" x14ac:dyDescent="0.15">
      <c r="A864" t="s">
        <v>72</v>
      </c>
      <c r="B864" t="s">
        <v>12353</v>
      </c>
      <c r="C864" t="s">
        <v>74</v>
      </c>
      <c r="D864" t="s">
        <v>74</v>
      </c>
      <c r="E864" t="s">
        <v>74</v>
      </c>
      <c r="F864" t="s">
        <v>12353</v>
      </c>
      <c r="G864" t="s">
        <v>74</v>
      </c>
      <c r="H864" t="s">
        <v>74</v>
      </c>
      <c r="I864" t="s">
        <v>12354</v>
      </c>
      <c r="J864" t="s">
        <v>10794</v>
      </c>
      <c r="K864" t="s">
        <v>74</v>
      </c>
      <c r="L864" t="s">
        <v>74</v>
      </c>
      <c r="M864" t="s">
        <v>77</v>
      </c>
      <c r="N864" t="s">
        <v>78</v>
      </c>
      <c r="O864" t="s">
        <v>74</v>
      </c>
      <c r="P864" t="s">
        <v>74</v>
      </c>
      <c r="Q864" t="s">
        <v>74</v>
      </c>
      <c r="R864" t="s">
        <v>74</v>
      </c>
      <c r="S864" t="s">
        <v>74</v>
      </c>
      <c r="T864" t="s">
        <v>12355</v>
      </c>
      <c r="U864" t="s">
        <v>12356</v>
      </c>
      <c r="V864" t="s">
        <v>12357</v>
      </c>
      <c r="W864" t="s">
        <v>12358</v>
      </c>
      <c r="X864" t="s">
        <v>1181</v>
      </c>
      <c r="Y864" t="s">
        <v>12359</v>
      </c>
      <c r="Z864" t="s">
        <v>12360</v>
      </c>
      <c r="AA864" t="s">
        <v>74</v>
      </c>
      <c r="AB864" t="s">
        <v>74</v>
      </c>
      <c r="AC864" t="s">
        <v>74</v>
      </c>
      <c r="AD864" t="s">
        <v>74</v>
      </c>
      <c r="AE864" t="s">
        <v>74</v>
      </c>
      <c r="AF864" t="s">
        <v>74</v>
      </c>
      <c r="AG864">
        <v>60</v>
      </c>
      <c r="AH864">
        <v>10</v>
      </c>
      <c r="AI864">
        <v>10</v>
      </c>
      <c r="AJ864">
        <v>0</v>
      </c>
      <c r="AK864">
        <v>1</v>
      </c>
      <c r="AL864" t="s">
        <v>363</v>
      </c>
      <c r="AM864" t="s">
        <v>364</v>
      </c>
      <c r="AN864" t="s">
        <v>365</v>
      </c>
      <c r="AO864" t="s">
        <v>10804</v>
      </c>
      <c r="AP864" t="s">
        <v>10805</v>
      </c>
      <c r="AQ864" t="s">
        <v>74</v>
      </c>
      <c r="AR864" t="s">
        <v>10806</v>
      </c>
      <c r="AS864" t="s">
        <v>10807</v>
      </c>
      <c r="AT864" t="s">
        <v>12349</v>
      </c>
      <c r="AU864">
        <v>2003</v>
      </c>
      <c r="AV864">
        <v>108</v>
      </c>
      <c r="AW864" t="s">
        <v>12361</v>
      </c>
      <c r="AX864" t="s">
        <v>74</v>
      </c>
      <c r="AY864" t="s">
        <v>74</v>
      </c>
      <c r="AZ864" t="s">
        <v>74</v>
      </c>
      <c r="BA864" t="s">
        <v>74</v>
      </c>
      <c r="BB864" t="s">
        <v>74</v>
      </c>
      <c r="BC864" t="s">
        <v>74</v>
      </c>
      <c r="BD864">
        <v>2526</v>
      </c>
      <c r="BE864" t="s">
        <v>12362</v>
      </c>
      <c r="BF864" t="str">
        <f>HYPERLINK("http://dx.doi.org/10.1029/2003JB002557","http://dx.doi.org/10.1029/2003JB002557")</f>
        <v>http://dx.doi.org/10.1029/2003JB002557</v>
      </c>
      <c r="BG864" t="s">
        <v>74</v>
      </c>
      <c r="BH864" t="s">
        <v>74</v>
      </c>
      <c r="BI864">
        <v>17</v>
      </c>
      <c r="BJ864" t="s">
        <v>262</v>
      </c>
      <c r="BK864" t="s">
        <v>96</v>
      </c>
      <c r="BL864" t="s">
        <v>262</v>
      </c>
      <c r="BM864" t="s">
        <v>12363</v>
      </c>
      <c r="BN864" t="s">
        <v>74</v>
      </c>
      <c r="BO864" t="s">
        <v>397</v>
      </c>
      <c r="BP864" t="s">
        <v>74</v>
      </c>
      <c r="BQ864" t="s">
        <v>74</v>
      </c>
      <c r="BR864" t="s">
        <v>99</v>
      </c>
      <c r="BS864" t="s">
        <v>12364</v>
      </c>
      <c r="BT864" t="str">
        <f>HYPERLINK("https%3A%2F%2Fwww.webofscience.com%2Fwos%2Fwoscc%2Ffull-record%2FWOS:000186658100003","View Full Record in Web of Science")</f>
        <v>View Full Record in Web of Science</v>
      </c>
    </row>
    <row r="865" spans="1:72" x14ac:dyDescent="0.15">
      <c r="A865" t="s">
        <v>72</v>
      </c>
      <c r="B865" t="s">
        <v>12365</v>
      </c>
      <c r="C865" t="s">
        <v>74</v>
      </c>
      <c r="D865" t="s">
        <v>74</v>
      </c>
      <c r="E865" t="s">
        <v>74</v>
      </c>
      <c r="F865" t="s">
        <v>12365</v>
      </c>
      <c r="G865" t="s">
        <v>74</v>
      </c>
      <c r="H865" t="s">
        <v>74</v>
      </c>
      <c r="I865" t="s">
        <v>12366</v>
      </c>
      <c r="J865" t="s">
        <v>2398</v>
      </c>
      <c r="K865" t="s">
        <v>74</v>
      </c>
      <c r="L865" t="s">
        <v>74</v>
      </c>
      <c r="M865" t="s">
        <v>77</v>
      </c>
      <c r="N865" t="s">
        <v>311</v>
      </c>
      <c r="O865" t="s">
        <v>12367</v>
      </c>
      <c r="P865" t="s">
        <v>12368</v>
      </c>
      <c r="Q865" t="s">
        <v>12369</v>
      </c>
      <c r="R865" t="s">
        <v>74</v>
      </c>
      <c r="S865" t="s">
        <v>74</v>
      </c>
      <c r="T865" t="s">
        <v>12370</v>
      </c>
      <c r="U865" t="s">
        <v>12371</v>
      </c>
      <c r="V865" t="s">
        <v>12372</v>
      </c>
      <c r="W865" t="s">
        <v>12373</v>
      </c>
      <c r="X865" t="s">
        <v>12374</v>
      </c>
      <c r="Y865" t="s">
        <v>12375</v>
      </c>
      <c r="Z865" t="s">
        <v>74</v>
      </c>
      <c r="AA865" t="s">
        <v>12376</v>
      </c>
      <c r="AB865" t="s">
        <v>12377</v>
      </c>
      <c r="AC865" t="s">
        <v>74</v>
      </c>
      <c r="AD865" t="s">
        <v>74</v>
      </c>
      <c r="AE865" t="s">
        <v>74</v>
      </c>
      <c r="AF865" t="s">
        <v>74</v>
      </c>
      <c r="AG865">
        <v>39</v>
      </c>
      <c r="AH865">
        <v>45</v>
      </c>
      <c r="AI865">
        <v>46</v>
      </c>
      <c r="AJ865">
        <v>1</v>
      </c>
      <c r="AK865">
        <v>2</v>
      </c>
      <c r="AL865" t="s">
        <v>528</v>
      </c>
      <c r="AM865" t="s">
        <v>529</v>
      </c>
      <c r="AN865" t="s">
        <v>530</v>
      </c>
      <c r="AO865" t="s">
        <v>2408</v>
      </c>
      <c r="AP865" t="s">
        <v>74</v>
      </c>
      <c r="AQ865" t="s">
        <v>74</v>
      </c>
      <c r="AR865" t="s">
        <v>2410</v>
      </c>
      <c r="AS865" t="s">
        <v>2411</v>
      </c>
      <c r="AT865" t="s">
        <v>12349</v>
      </c>
      <c r="AU865">
        <v>2003</v>
      </c>
      <c r="AV865">
        <v>128</v>
      </c>
      <c r="AW865" t="s">
        <v>3766</v>
      </c>
      <c r="AX865" t="s">
        <v>74</v>
      </c>
      <c r="AY865" t="s">
        <v>74</v>
      </c>
      <c r="AZ865" t="s">
        <v>74</v>
      </c>
      <c r="BA865" t="s">
        <v>74</v>
      </c>
      <c r="BB865">
        <v>65</v>
      </c>
      <c r="BC865">
        <v>88</v>
      </c>
      <c r="BD865" t="s">
        <v>74</v>
      </c>
      <c r="BE865" t="s">
        <v>12378</v>
      </c>
      <c r="BF865" t="str">
        <f>HYPERLINK("http://dx.doi.org/10.1016/S0377-0273(03)00247-6","http://dx.doi.org/10.1016/S0377-0273(03)00247-6")</f>
        <v>http://dx.doi.org/10.1016/S0377-0273(03)00247-6</v>
      </c>
      <c r="BG865" t="s">
        <v>74</v>
      </c>
      <c r="BH865" t="s">
        <v>74</v>
      </c>
      <c r="BI865">
        <v>24</v>
      </c>
      <c r="BJ865" t="s">
        <v>560</v>
      </c>
      <c r="BK865" t="s">
        <v>1116</v>
      </c>
      <c r="BL865" t="s">
        <v>561</v>
      </c>
      <c r="BM865" t="s">
        <v>12379</v>
      </c>
      <c r="BN865" t="s">
        <v>74</v>
      </c>
      <c r="BO865" t="s">
        <v>74</v>
      </c>
      <c r="BP865" t="s">
        <v>74</v>
      </c>
      <c r="BQ865" t="s">
        <v>74</v>
      </c>
      <c r="BR865" t="s">
        <v>99</v>
      </c>
      <c r="BS865" t="s">
        <v>12380</v>
      </c>
      <c r="BT865" t="str">
        <f>HYPERLINK("https%3A%2F%2Fwww.webofscience.com%2Fwos%2Fwoscc%2Ffull-record%2FWOS:000186815300006","View Full Record in Web of Science")</f>
        <v>View Full Record in Web of Science</v>
      </c>
    </row>
    <row r="866" spans="1:72" x14ac:dyDescent="0.15">
      <c r="A866" t="s">
        <v>72</v>
      </c>
      <c r="B866" t="s">
        <v>12381</v>
      </c>
      <c r="C866" t="s">
        <v>74</v>
      </c>
      <c r="D866" t="s">
        <v>74</v>
      </c>
      <c r="E866" t="s">
        <v>74</v>
      </c>
      <c r="F866" t="s">
        <v>12381</v>
      </c>
      <c r="G866" t="s">
        <v>74</v>
      </c>
      <c r="H866" t="s">
        <v>74</v>
      </c>
      <c r="I866" t="s">
        <v>12382</v>
      </c>
      <c r="J866" t="s">
        <v>3916</v>
      </c>
      <c r="K866" t="s">
        <v>74</v>
      </c>
      <c r="L866" t="s">
        <v>74</v>
      </c>
      <c r="M866" t="s">
        <v>77</v>
      </c>
      <c r="N866" t="s">
        <v>822</v>
      </c>
      <c r="O866" t="s">
        <v>74</v>
      </c>
      <c r="P866" t="s">
        <v>74</v>
      </c>
      <c r="Q866" t="s">
        <v>74</v>
      </c>
      <c r="R866" t="s">
        <v>74</v>
      </c>
      <c r="S866" t="s">
        <v>74</v>
      </c>
      <c r="T866" t="s">
        <v>74</v>
      </c>
      <c r="U866" t="s">
        <v>74</v>
      </c>
      <c r="V866" t="s">
        <v>74</v>
      </c>
      <c r="W866" t="s">
        <v>647</v>
      </c>
      <c r="X866" t="s">
        <v>82</v>
      </c>
      <c r="Y866" t="s">
        <v>12264</v>
      </c>
      <c r="Z866" t="s">
        <v>74</v>
      </c>
      <c r="AA866" t="s">
        <v>10696</v>
      </c>
      <c r="AB866" t="s">
        <v>10697</v>
      </c>
      <c r="AC866" t="s">
        <v>74</v>
      </c>
      <c r="AD866" t="s">
        <v>74</v>
      </c>
      <c r="AE866" t="s">
        <v>74</v>
      </c>
      <c r="AF866" t="s">
        <v>74</v>
      </c>
      <c r="AG866">
        <v>8</v>
      </c>
      <c r="AH866">
        <v>6</v>
      </c>
      <c r="AI866">
        <v>7</v>
      </c>
      <c r="AJ866">
        <v>0</v>
      </c>
      <c r="AK866">
        <v>4</v>
      </c>
      <c r="AL866" t="s">
        <v>3925</v>
      </c>
      <c r="AM866" t="s">
        <v>364</v>
      </c>
      <c r="AN866" t="s">
        <v>3926</v>
      </c>
      <c r="AO866" t="s">
        <v>3927</v>
      </c>
      <c r="AP866" t="s">
        <v>74</v>
      </c>
      <c r="AQ866" t="s">
        <v>74</v>
      </c>
      <c r="AR866" t="s">
        <v>3916</v>
      </c>
      <c r="AS866" t="s">
        <v>3929</v>
      </c>
      <c r="AT866" t="s">
        <v>12383</v>
      </c>
      <c r="AU866">
        <v>2003</v>
      </c>
      <c r="AV866">
        <v>302</v>
      </c>
      <c r="AW866">
        <v>5648</v>
      </c>
      <c r="AX866" t="s">
        <v>74</v>
      </c>
      <c r="AY866" t="s">
        <v>74</v>
      </c>
      <c r="AZ866" t="s">
        <v>74</v>
      </c>
      <c r="BA866" t="s">
        <v>74</v>
      </c>
      <c r="BB866">
        <v>1164</v>
      </c>
      <c r="BC866">
        <v>1164</v>
      </c>
      <c r="BD866" t="s">
        <v>74</v>
      </c>
      <c r="BE866" t="s">
        <v>74</v>
      </c>
      <c r="BF866" t="s">
        <v>74</v>
      </c>
      <c r="BG866" t="s">
        <v>74</v>
      </c>
      <c r="BH866" t="s">
        <v>74</v>
      </c>
      <c r="BI866">
        <v>1</v>
      </c>
      <c r="BJ866" t="s">
        <v>454</v>
      </c>
      <c r="BK866" t="s">
        <v>96</v>
      </c>
      <c r="BL866" t="s">
        <v>455</v>
      </c>
      <c r="BM866" t="s">
        <v>12384</v>
      </c>
      <c r="BN866">
        <v>14615525</v>
      </c>
      <c r="BO866" t="s">
        <v>74</v>
      </c>
      <c r="BP866" t="s">
        <v>74</v>
      </c>
      <c r="BQ866" t="s">
        <v>74</v>
      </c>
      <c r="BR866" t="s">
        <v>99</v>
      </c>
      <c r="BS866" t="s">
        <v>12385</v>
      </c>
      <c r="BT866" t="str">
        <f>HYPERLINK("https%3A%2F%2Fwww.webofscience.com%2Fwos%2Fwoscc%2Ffull-record%2FWOS:000186544300039","View Full Record in Web of Science")</f>
        <v>View Full Record in Web of Science</v>
      </c>
    </row>
    <row r="867" spans="1:72" x14ac:dyDescent="0.15">
      <c r="A867" t="s">
        <v>72</v>
      </c>
      <c r="B867" t="s">
        <v>12386</v>
      </c>
      <c r="C867" t="s">
        <v>74</v>
      </c>
      <c r="D867" t="s">
        <v>74</v>
      </c>
      <c r="E867" t="s">
        <v>74</v>
      </c>
      <c r="F867" t="s">
        <v>12386</v>
      </c>
      <c r="G867" t="s">
        <v>74</v>
      </c>
      <c r="H867" t="s">
        <v>74</v>
      </c>
      <c r="I867" t="s">
        <v>12387</v>
      </c>
      <c r="J867" t="s">
        <v>3916</v>
      </c>
      <c r="K867" t="s">
        <v>74</v>
      </c>
      <c r="L867" t="s">
        <v>74</v>
      </c>
      <c r="M867" t="s">
        <v>77</v>
      </c>
      <c r="N867" t="s">
        <v>78</v>
      </c>
      <c r="O867" t="s">
        <v>74</v>
      </c>
      <c r="P867" t="s">
        <v>74</v>
      </c>
      <c r="Q867" t="s">
        <v>74</v>
      </c>
      <c r="R867" t="s">
        <v>74</v>
      </c>
      <c r="S867" t="s">
        <v>74</v>
      </c>
      <c r="T867" t="s">
        <v>74</v>
      </c>
      <c r="U867" t="s">
        <v>12388</v>
      </c>
      <c r="V867" t="s">
        <v>12389</v>
      </c>
      <c r="W867" t="s">
        <v>12390</v>
      </c>
      <c r="X867" t="s">
        <v>12391</v>
      </c>
      <c r="Y867" t="s">
        <v>12392</v>
      </c>
      <c r="Z867" t="s">
        <v>74</v>
      </c>
      <c r="AA867" t="s">
        <v>4452</v>
      </c>
      <c r="AB867" t="s">
        <v>4453</v>
      </c>
      <c r="AC867" t="s">
        <v>74</v>
      </c>
      <c r="AD867" t="s">
        <v>74</v>
      </c>
      <c r="AE867" t="s">
        <v>74</v>
      </c>
      <c r="AF867" t="s">
        <v>74</v>
      </c>
      <c r="AG867">
        <v>29</v>
      </c>
      <c r="AH867">
        <v>243</v>
      </c>
      <c r="AI867">
        <v>267</v>
      </c>
      <c r="AJ867">
        <v>0</v>
      </c>
      <c r="AK867">
        <v>62</v>
      </c>
      <c r="AL867" t="s">
        <v>3925</v>
      </c>
      <c r="AM867" t="s">
        <v>364</v>
      </c>
      <c r="AN867" t="s">
        <v>3926</v>
      </c>
      <c r="AO867" t="s">
        <v>3927</v>
      </c>
      <c r="AP867" t="s">
        <v>74</v>
      </c>
      <c r="AQ867" t="s">
        <v>74</v>
      </c>
      <c r="AR867" t="s">
        <v>3916</v>
      </c>
      <c r="AS867" t="s">
        <v>3929</v>
      </c>
      <c r="AT867" t="s">
        <v>12383</v>
      </c>
      <c r="AU867">
        <v>2003</v>
      </c>
      <c r="AV867">
        <v>302</v>
      </c>
      <c r="AW867">
        <v>5648</v>
      </c>
      <c r="AX867" t="s">
        <v>74</v>
      </c>
      <c r="AY867" t="s">
        <v>74</v>
      </c>
      <c r="AZ867" t="s">
        <v>74</v>
      </c>
      <c r="BA867" t="s">
        <v>74</v>
      </c>
      <c r="BB867">
        <v>1203</v>
      </c>
      <c r="BC867">
        <v>1206</v>
      </c>
      <c r="BD867" t="s">
        <v>74</v>
      </c>
      <c r="BE867" t="s">
        <v>12393</v>
      </c>
      <c r="BF867" t="str">
        <f>HYPERLINK("http://dx.doi.org/10.1126/science.1087888","http://dx.doi.org/10.1126/science.1087888")</f>
        <v>http://dx.doi.org/10.1126/science.1087888</v>
      </c>
      <c r="BG867" t="s">
        <v>74</v>
      </c>
      <c r="BH867" t="s">
        <v>74</v>
      </c>
      <c r="BI867">
        <v>4</v>
      </c>
      <c r="BJ867" t="s">
        <v>454</v>
      </c>
      <c r="BK867" t="s">
        <v>96</v>
      </c>
      <c r="BL867" t="s">
        <v>455</v>
      </c>
      <c r="BM867" t="s">
        <v>12384</v>
      </c>
      <c r="BN867">
        <v>14615537</v>
      </c>
      <c r="BO867" t="s">
        <v>74</v>
      </c>
      <c r="BP867" t="s">
        <v>74</v>
      </c>
      <c r="BQ867" t="s">
        <v>74</v>
      </c>
      <c r="BR867" t="s">
        <v>99</v>
      </c>
      <c r="BS867" t="s">
        <v>12394</v>
      </c>
      <c r="BT867" t="str">
        <f>HYPERLINK("https%3A%2F%2Fwww.webofscience.com%2Fwos%2Fwoscc%2Ffull-record%2FWOS:000186544300052","View Full Record in Web of Science")</f>
        <v>View Full Record in Web of Science</v>
      </c>
    </row>
    <row r="868" spans="1:72" x14ac:dyDescent="0.15">
      <c r="A868" t="s">
        <v>72</v>
      </c>
      <c r="B868" t="s">
        <v>12395</v>
      </c>
      <c r="C868" t="s">
        <v>74</v>
      </c>
      <c r="D868" t="s">
        <v>74</v>
      </c>
      <c r="E868" t="s">
        <v>74</v>
      </c>
      <c r="F868" t="s">
        <v>12395</v>
      </c>
      <c r="G868" t="s">
        <v>74</v>
      </c>
      <c r="H868" t="s">
        <v>74</v>
      </c>
      <c r="I868" t="s">
        <v>12396</v>
      </c>
      <c r="J868" t="s">
        <v>12397</v>
      </c>
      <c r="K868" t="s">
        <v>74</v>
      </c>
      <c r="L868" t="s">
        <v>74</v>
      </c>
      <c r="M868" t="s">
        <v>77</v>
      </c>
      <c r="N868" t="s">
        <v>78</v>
      </c>
      <c r="O868" t="s">
        <v>74</v>
      </c>
      <c r="P868" t="s">
        <v>74</v>
      </c>
      <c r="Q868" t="s">
        <v>74</v>
      </c>
      <c r="R868" t="s">
        <v>74</v>
      </c>
      <c r="S868" t="s">
        <v>74</v>
      </c>
      <c r="T868" t="s">
        <v>74</v>
      </c>
      <c r="U868" t="s">
        <v>12398</v>
      </c>
      <c r="V868" t="s">
        <v>12399</v>
      </c>
      <c r="W868" t="s">
        <v>12400</v>
      </c>
      <c r="X868" t="s">
        <v>12401</v>
      </c>
      <c r="Y868" t="s">
        <v>12402</v>
      </c>
      <c r="Z868" t="s">
        <v>74</v>
      </c>
      <c r="AA868" t="s">
        <v>74</v>
      </c>
      <c r="AB868" t="s">
        <v>74</v>
      </c>
      <c r="AC868" t="s">
        <v>74</v>
      </c>
      <c r="AD868" t="s">
        <v>74</v>
      </c>
      <c r="AE868" t="s">
        <v>74</v>
      </c>
      <c r="AF868" t="s">
        <v>74</v>
      </c>
      <c r="AG868">
        <v>49</v>
      </c>
      <c r="AH868">
        <v>193</v>
      </c>
      <c r="AI868">
        <v>237</v>
      </c>
      <c r="AJ868">
        <v>5</v>
      </c>
      <c r="AK868">
        <v>79</v>
      </c>
      <c r="AL868" t="s">
        <v>1254</v>
      </c>
      <c r="AM868" t="s">
        <v>364</v>
      </c>
      <c r="AN868" t="s">
        <v>1255</v>
      </c>
      <c r="AO868" t="s">
        <v>12403</v>
      </c>
      <c r="AP868" t="s">
        <v>74</v>
      </c>
      <c r="AQ868" t="s">
        <v>74</v>
      </c>
      <c r="AR868" t="s">
        <v>12404</v>
      </c>
      <c r="AS868" t="s">
        <v>12405</v>
      </c>
      <c r="AT868" t="s">
        <v>12406</v>
      </c>
      <c r="AU868">
        <v>2003</v>
      </c>
      <c r="AV868">
        <v>107</v>
      </c>
      <c r="AW868">
        <v>45</v>
      </c>
      <c r="AX868" t="s">
        <v>74</v>
      </c>
      <c r="AY868" t="s">
        <v>74</v>
      </c>
      <c r="AZ868" t="s">
        <v>74</v>
      </c>
      <c r="BA868" t="s">
        <v>74</v>
      </c>
      <c r="BB868">
        <v>9594</v>
      </c>
      <c r="BC868">
        <v>9602</v>
      </c>
      <c r="BD868" t="s">
        <v>74</v>
      </c>
      <c r="BE868" t="s">
        <v>12407</v>
      </c>
      <c r="BF868" t="str">
        <f>HYPERLINK("http://dx.doi.org/10.1021/jp0349132","http://dx.doi.org/10.1021/jp0349132")</f>
        <v>http://dx.doi.org/10.1021/jp0349132</v>
      </c>
      <c r="BG868" t="s">
        <v>74</v>
      </c>
      <c r="BH868" t="s">
        <v>74</v>
      </c>
      <c r="BI868">
        <v>9</v>
      </c>
      <c r="BJ868" t="s">
        <v>2317</v>
      </c>
      <c r="BK868" t="s">
        <v>96</v>
      </c>
      <c r="BL868" t="s">
        <v>2318</v>
      </c>
      <c r="BM868" t="s">
        <v>12408</v>
      </c>
      <c r="BN868" t="s">
        <v>74</v>
      </c>
      <c r="BO868" t="s">
        <v>74</v>
      </c>
      <c r="BP868" t="s">
        <v>74</v>
      </c>
      <c r="BQ868" t="s">
        <v>74</v>
      </c>
      <c r="BR868" t="s">
        <v>99</v>
      </c>
      <c r="BS868" t="s">
        <v>12409</v>
      </c>
      <c r="BT868" t="str">
        <f>HYPERLINK("https%3A%2F%2Fwww.webofscience.com%2Fwos%2Fwoscc%2Ffull-record%2FWOS:000186425000014","View Full Record in Web of Science")</f>
        <v>View Full Record in Web of Science</v>
      </c>
    </row>
    <row r="869" spans="1:72" x14ac:dyDescent="0.15">
      <c r="A869" t="s">
        <v>72</v>
      </c>
      <c r="B869" t="s">
        <v>12410</v>
      </c>
      <c r="C869" t="s">
        <v>74</v>
      </c>
      <c r="D869" t="s">
        <v>74</v>
      </c>
      <c r="E869" t="s">
        <v>74</v>
      </c>
      <c r="F869" t="s">
        <v>12410</v>
      </c>
      <c r="G869" t="s">
        <v>74</v>
      </c>
      <c r="H869" t="s">
        <v>74</v>
      </c>
      <c r="I869" t="s">
        <v>12411</v>
      </c>
      <c r="J869" t="s">
        <v>2267</v>
      </c>
      <c r="K869" t="s">
        <v>74</v>
      </c>
      <c r="L869" t="s">
        <v>74</v>
      </c>
      <c r="M869" t="s">
        <v>77</v>
      </c>
      <c r="N869" t="s">
        <v>3308</v>
      </c>
      <c r="O869" t="s">
        <v>74</v>
      </c>
      <c r="P869" t="s">
        <v>74</v>
      </c>
      <c r="Q869" t="s">
        <v>74</v>
      </c>
      <c r="R869" t="s">
        <v>74</v>
      </c>
      <c r="S869" t="s">
        <v>74</v>
      </c>
      <c r="T869" t="s">
        <v>74</v>
      </c>
      <c r="U869" t="s">
        <v>74</v>
      </c>
      <c r="V869" t="s">
        <v>74</v>
      </c>
      <c r="W869" t="s">
        <v>74</v>
      </c>
      <c r="X869" t="s">
        <v>74</v>
      </c>
      <c r="Y869" t="s">
        <v>74</v>
      </c>
      <c r="Z869" t="s">
        <v>74</v>
      </c>
      <c r="AA869" t="s">
        <v>74</v>
      </c>
      <c r="AB869" t="s">
        <v>74</v>
      </c>
      <c r="AC869" t="s">
        <v>74</v>
      </c>
      <c r="AD869" t="s">
        <v>74</v>
      </c>
      <c r="AE869" t="s">
        <v>74</v>
      </c>
      <c r="AF869" t="s">
        <v>74</v>
      </c>
      <c r="AG869">
        <v>0</v>
      </c>
      <c r="AH869">
        <v>0</v>
      </c>
      <c r="AI869">
        <v>0</v>
      </c>
      <c r="AJ869">
        <v>0</v>
      </c>
      <c r="AK869">
        <v>0</v>
      </c>
      <c r="AL869" t="s">
        <v>2276</v>
      </c>
      <c r="AM869" t="s">
        <v>1417</v>
      </c>
      <c r="AN869" t="s">
        <v>2277</v>
      </c>
      <c r="AO869" t="s">
        <v>2278</v>
      </c>
      <c r="AP869" t="s">
        <v>74</v>
      </c>
      <c r="AQ869" t="s">
        <v>74</v>
      </c>
      <c r="AR869" t="s">
        <v>2267</v>
      </c>
      <c r="AS869" t="s">
        <v>2279</v>
      </c>
      <c r="AT869" t="s">
        <v>12406</v>
      </c>
      <c r="AU869">
        <v>2003</v>
      </c>
      <c r="AV869">
        <v>426</v>
      </c>
      <c r="AW869">
        <v>6963</v>
      </c>
      <c r="AX869" t="s">
        <v>74</v>
      </c>
      <c r="AY869" t="s">
        <v>74</v>
      </c>
      <c r="AZ869" t="s">
        <v>74</v>
      </c>
      <c r="BA869" t="s">
        <v>74</v>
      </c>
      <c r="BB869">
        <v>108</v>
      </c>
      <c r="BC869">
        <v>108</v>
      </c>
      <c r="BD869" t="s">
        <v>74</v>
      </c>
      <c r="BE869" t="s">
        <v>12412</v>
      </c>
      <c r="BF869" t="str">
        <f>HYPERLINK("http://dx.doi.org/10.1038/426108a","http://dx.doi.org/10.1038/426108a")</f>
        <v>http://dx.doi.org/10.1038/426108a</v>
      </c>
      <c r="BG869" t="s">
        <v>74</v>
      </c>
      <c r="BH869" t="s">
        <v>74</v>
      </c>
      <c r="BI869">
        <v>1</v>
      </c>
      <c r="BJ869" t="s">
        <v>454</v>
      </c>
      <c r="BK869" t="s">
        <v>96</v>
      </c>
      <c r="BL869" t="s">
        <v>455</v>
      </c>
      <c r="BM869" t="s">
        <v>12413</v>
      </c>
      <c r="BN869">
        <v>14614464</v>
      </c>
      <c r="BO869" t="s">
        <v>541</v>
      </c>
      <c r="BP869" t="s">
        <v>74</v>
      </c>
      <c r="BQ869" t="s">
        <v>74</v>
      </c>
      <c r="BR869" t="s">
        <v>99</v>
      </c>
      <c r="BS869" t="s">
        <v>12414</v>
      </c>
      <c r="BT869" t="str">
        <f>HYPERLINK("https%3A%2F%2Fwww.webofscience.com%2Fwos%2Fwoscc%2Ffull-record%2FWOS:000186517200003","View Full Record in Web of Science")</f>
        <v>View Full Record in Web of Science</v>
      </c>
    </row>
    <row r="870" spans="1:72" x14ac:dyDescent="0.15">
      <c r="A870" t="s">
        <v>72</v>
      </c>
      <c r="B870" t="s">
        <v>12415</v>
      </c>
      <c r="C870" t="s">
        <v>74</v>
      </c>
      <c r="D870" t="s">
        <v>74</v>
      </c>
      <c r="E870" t="s">
        <v>74</v>
      </c>
      <c r="F870" t="s">
        <v>12415</v>
      </c>
      <c r="G870" t="s">
        <v>74</v>
      </c>
      <c r="H870" t="s">
        <v>74</v>
      </c>
      <c r="I870" t="s">
        <v>12416</v>
      </c>
      <c r="J870" t="s">
        <v>545</v>
      </c>
      <c r="K870" t="s">
        <v>74</v>
      </c>
      <c r="L870" t="s">
        <v>74</v>
      </c>
      <c r="M870" t="s">
        <v>77</v>
      </c>
      <c r="N870" t="s">
        <v>78</v>
      </c>
      <c r="O870" t="s">
        <v>74</v>
      </c>
      <c r="P870" t="s">
        <v>74</v>
      </c>
      <c r="Q870" t="s">
        <v>74</v>
      </c>
      <c r="R870" t="s">
        <v>74</v>
      </c>
      <c r="S870" t="s">
        <v>74</v>
      </c>
      <c r="T870" t="s">
        <v>74</v>
      </c>
      <c r="U870" t="s">
        <v>12417</v>
      </c>
      <c r="V870" t="s">
        <v>12418</v>
      </c>
      <c r="W870" t="s">
        <v>12419</v>
      </c>
      <c r="X870" t="s">
        <v>11109</v>
      </c>
      <c r="Y870" t="s">
        <v>12420</v>
      </c>
      <c r="Z870" t="s">
        <v>74</v>
      </c>
      <c r="AA870" t="s">
        <v>74</v>
      </c>
      <c r="AB870" t="s">
        <v>12421</v>
      </c>
      <c r="AC870" t="s">
        <v>74</v>
      </c>
      <c r="AD870" t="s">
        <v>74</v>
      </c>
      <c r="AE870" t="s">
        <v>74</v>
      </c>
      <c r="AF870" t="s">
        <v>74</v>
      </c>
      <c r="AG870">
        <v>17</v>
      </c>
      <c r="AH870">
        <v>168</v>
      </c>
      <c r="AI870">
        <v>182</v>
      </c>
      <c r="AJ870">
        <v>0</v>
      </c>
      <c r="AK870">
        <v>16</v>
      </c>
      <c r="AL870" t="s">
        <v>363</v>
      </c>
      <c r="AM870" t="s">
        <v>364</v>
      </c>
      <c r="AN870" t="s">
        <v>365</v>
      </c>
      <c r="AO870" t="s">
        <v>553</v>
      </c>
      <c r="AP870" t="s">
        <v>74</v>
      </c>
      <c r="AQ870" t="s">
        <v>74</v>
      </c>
      <c r="AR870" t="s">
        <v>555</v>
      </c>
      <c r="AS870" t="s">
        <v>556</v>
      </c>
      <c r="AT870" t="s">
        <v>12422</v>
      </c>
      <c r="AU870">
        <v>2003</v>
      </c>
      <c r="AV870">
        <v>30</v>
      </c>
      <c r="AW870">
        <v>21</v>
      </c>
      <c r="AX870" t="s">
        <v>74</v>
      </c>
      <c r="AY870" t="s">
        <v>74</v>
      </c>
      <c r="AZ870" t="s">
        <v>74</v>
      </c>
      <c r="BA870" t="s">
        <v>74</v>
      </c>
      <c r="BB870" t="s">
        <v>74</v>
      </c>
      <c r="BC870" t="s">
        <v>74</v>
      </c>
      <c r="BD870">
        <v>2115</v>
      </c>
      <c r="BE870" t="s">
        <v>12423</v>
      </c>
      <c r="BF870" t="str">
        <f>HYPERLINK("http://dx.doi.org/10.1029/2003GL018277","http://dx.doi.org/10.1029/2003GL018277")</f>
        <v>http://dx.doi.org/10.1029/2003GL018277</v>
      </c>
      <c r="BG870" t="s">
        <v>74</v>
      </c>
      <c r="BH870" t="s">
        <v>74</v>
      </c>
      <c r="BI870">
        <v>4</v>
      </c>
      <c r="BJ870" t="s">
        <v>560</v>
      </c>
      <c r="BK870" t="s">
        <v>96</v>
      </c>
      <c r="BL870" t="s">
        <v>561</v>
      </c>
      <c r="BM870" t="s">
        <v>12424</v>
      </c>
      <c r="BN870" t="s">
        <v>74</v>
      </c>
      <c r="BO870" t="s">
        <v>479</v>
      </c>
      <c r="BP870" t="s">
        <v>74</v>
      </c>
      <c r="BQ870" t="s">
        <v>74</v>
      </c>
      <c r="BR870" t="s">
        <v>99</v>
      </c>
      <c r="BS870" t="s">
        <v>12425</v>
      </c>
      <c r="BT870" t="str">
        <f>HYPERLINK("https%3A%2F%2Fwww.webofscience.com%2Fwos%2Fwoscc%2Ffull-record%2FWOS:000186651700003","View Full Record in Web of Science")</f>
        <v>View Full Record in Web of Science</v>
      </c>
    </row>
    <row r="871" spans="1:72" x14ac:dyDescent="0.15">
      <c r="A871" t="s">
        <v>72</v>
      </c>
      <c r="B871" t="s">
        <v>12426</v>
      </c>
      <c r="C871" t="s">
        <v>74</v>
      </c>
      <c r="D871" t="s">
        <v>74</v>
      </c>
      <c r="E871" t="s">
        <v>74</v>
      </c>
      <c r="F871" t="s">
        <v>12426</v>
      </c>
      <c r="G871" t="s">
        <v>74</v>
      </c>
      <c r="H871" t="s">
        <v>74</v>
      </c>
      <c r="I871" t="s">
        <v>12427</v>
      </c>
      <c r="J871" t="s">
        <v>12428</v>
      </c>
      <c r="K871" t="s">
        <v>74</v>
      </c>
      <c r="L871" t="s">
        <v>74</v>
      </c>
      <c r="M871" t="s">
        <v>77</v>
      </c>
      <c r="N871" t="s">
        <v>78</v>
      </c>
      <c r="O871" t="s">
        <v>74</v>
      </c>
      <c r="P871" t="s">
        <v>74</v>
      </c>
      <c r="Q871" t="s">
        <v>74</v>
      </c>
      <c r="R871" t="s">
        <v>74</v>
      </c>
      <c r="S871" t="s">
        <v>74</v>
      </c>
      <c r="T871" t="s">
        <v>12429</v>
      </c>
      <c r="U871" t="s">
        <v>12430</v>
      </c>
      <c r="V871" t="s">
        <v>12431</v>
      </c>
      <c r="W871" t="s">
        <v>12432</v>
      </c>
      <c r="X871" t="s">
        <v>4766</v>
      </c>
      <c r="Y871" t="s">
        <v>12433</v>
      </c>
      <c r="Z871" t="s">
        <v>12434</v>
      </c>
      <c r="AA871" t="s">
        <v>74</v>
      </c>
      <c r="AB871" t="s">
        <v>74</v>
      </c>
      <c r="AC871" t="s">
        <v>74</v>
      </c>
      <c r="AD871" t="s">
        <v>74</v>
      </c>
      <c r="AE871" t="s">
        <v>74</v>
      </c>
      <c r="AF871" t="s">
        <v>74</v>
      </c>
      <c r="AG871">
        <v>30</v>
      </c>
      <c r="AH871">
        <v>95</v>
      </c>
      <c r="AI871">
        <v>113</v>
      </c>
      <c r="AJ871">
        <v>1</v>
      </c>
      <c r="AK871">
        <v>20</v>
      </c>
      <c r="AL871" t="s">
        <v>685</v>
      </c>
      <c r="AM871" t="s">
        <v>529</v>
      </c>
      <c r="AN871" t="s">
        <v>686</v>
      </c>
      <c r="AO871" t="s">
        <v>12435</v>
      </c>
      <c r="AP871" t="s">
        <v>12436</v>
      </c>
      <c r="AQ871" t="s">
        <v>74</v>
      </c>
      <c r="AR871" t="s">
        <v>12437</v>
      </c>
      <c r="AS871" t="s">
        <v>12438</v>
      </c>
      <c r="AT871" t="s">
        <v>12439</v>
      </c>
      <c r="AU871">
        <v>2003</v>
      </c>
      <c r="AV871">
        <v>282</v>
      </c>
      <c r="AW871" t="s">
        <v>10341</v>
      </c>
      <c r="AX871" t="s">
        <v>74</v>
      </c>
      <c r="AY871" t="s">
        <v>74</v>
      </c>
      <c r="AZ871" t="s">
        <v>74</v>
      </c>
      <c r="BA871" t="s">
        <v>74</v>
      </c>
      <c r="BB871">
        <v>164</v>
      </c>
      <c r="BC871">
        <v>176</v>
      </c>
      <c r="BD871" t="s">
        <v>74</v>
      </c>
      <c r="BE871" t="s">
        <v>12440</v>
      </c>
      <c r="BF871" t="str">
        <f>HYPERLINK("http://dx.doi.org/10.1016/S0022-1694(03)00254-3","http://dx.doi.org/10.1016/S0022-1694(03)00254-3")</f>
        <v>http://dx.doi.org/10.1016/S0022-1694(03)00254-3</v>
      </c>
      <c r="BG871" t="s">
        <v>74</v>
      </c>
      <c r="BH871" t="s">
        <v>74</v>
      </c>
      <c r="BI871">
        <v>13</v>
      </c>
      <c r="BJ871" t="s">
        <v>12441</v>
      </c>
      <c r="BK871" t="s">
        <v>96</v>
      </c>
      <c r="BL871" t="s">
        <v>12442</v>
      </c>
      <c r="BM871" t="s">
        <v>12443</v>
      </c>
      <c r="BN871" t="s">
        <v>74</v>
      </c>
      <c r="BO871" t="s">
        <v>74</v>
      </c>
      <c r="BP871" t="s">
        <v>74</v>
      </c>
      <c r="BQ871" t="s">
        <v>74</v>
      </c>
      <c r="BR871" t="s">
        <v>99</v>
      </c>
      <c r="BS871" t="s">
        <v>12444</v>
      </c>
      <c r="BT871" t="str">
        <f>HYPERLINK("https%3A%2F%2Fwww.webofscience.com%2Fwos%2Fwoscc%2Ffull-record%2FWOS:000186381700013","View Full Record in Web of Science")</f>
        <v>View Full Record in Web of Science</v>
      </c>
    </row>
    <row r="872" spans="1:72" x14ac:dyDescent="0.15">
      <c r="A872" t="s">
        <v>72</v>
      </c>
      <c r="B872" t="s">
        <v>12445</v>
      </c>
      <c r="C872" t="s">
        <v>74</v>
      </c>
      <c r="D872" t="s">
        <v>74</v>
      </c>
      <c r="E872" t="s">
        <v>74</v>
      </c>
      <c r="F872" t="s">
        <v>12445</v>
      </c>
      <c r="G872" t="s">
        <v>74</v>
      </c>
      <c r="H872" t="s">
        <v>74</v>
      </c>
      <c r="I872" t="s">
        <v>12446</v>
      </c>
      <c r="J872" t="s">
        <v>419</v>
      </c>
      <c r="K872" t="s">
        <v>74</v>
      </c>
      <c r="L872" t="s">
        <v>74</v>
      </c>
      <c r="M872" t="s">
        <v>77</v>
      </c>
      <c r="N872" t="s">
        <v>78</v>
      </c>
      <c r="O872" t="s">
        <v>74</v>
      </c>
      <c r="P872" t="s">
        <v>74</v>
      </c>
      <c r="Q872" t="s">
        <v>74</v>
      </c>
      <c r="R872" t="s">
        <v>74</v>
      </c>
      <c r="S872" t="s">
        <v>74</v>
      </c>
      <c r="T872" t="s">
        <v>12447</v>
      </c>
      <c r="U872" t="s">
        <v>12448</v>
      </c>
      <c r="V872" t="s">
        <v>12449</v>
      </c>
      <c r="W872" t="s">
        <v>12450</v>
      </c>
      <c r="X872" t="s">
        <v>12451</v>
      </c>
      <c r="Y872" t="s">
        <v>12452</v>
      </c>
      <c r="Z872" t="s">
        <v>12453</v>
      </c>
      <c r="AA872" t="s">
        <v>12454</v>
      </c>
      <c r="AB872" t="s">
        <v>12455</v>
      </c>
      <c r="AC872" t="s">
        <v>74</v>
      </c>
      <c r="AD872" t="s">
        <v>74</v>
      </c>
      <c r="AE872" t="s">
        <v>74</v>
      </c>
      <c r="AF872" t="s">
        <v>74</v>
      </c>
      <c r="AG872">
        <v>50</v>
      </c>
      <c r="AH872">
        <v>29</v>
      </c>
      <c r="AI872">
        <v>32</v>
      </c>
      <c r="AJ872">
        <v>0</v>
      </c>
      <c r="AK872">
        <v>4</v>
      </c>
      <c r="AL872" t="s">
        <v>363</v>
      </c>
      <c r="AM872" t="s">
        <v>364</v>
      </c>
      <c r="AN872" t="s">
        <v>365</v>
      </c>
      <c r="AO872" t="s">
        <v>429</v>
      </c>
      <c r="AP872" t="s">
        <v>430</v>
      </c>
      <c r="AQ872" t="s">
        <v>74</v>
      </c>
      <c r="AR872" t="s">
        <v>431</v>
      </c>
      <c r="AS872" t="s">
        <v>432</v>
      </c>
      <c r="AT872" t="s">
        <v>12456</v>
      </c>
      <c r="AU872">
        <v>2003</v>
      </c>
      <c r="AV872">
        <v>108</v>
      </c>
      <c r="AW872" t="s">
        <v>12457</v>
      </c>
      <c r="AX872" t="s">
        <v>74</v>
      </c>
      <c r="AY872" t="s">
        <v>74</v>
      </c>
      <c r="AZ872" t="s">
        <v>74</v>
      </c>
      <c r="BA872" t="s">
        <v>74</v>
      </c>
      <c r="BB872" t="s">
        <v>74</v>
      </c>
      <c r="BC872" t="s">
        <v>74</v>
      </c>
      <c r="BD872">
        <v>4673</v>
      </c>
      <c r="BE872" t="s">
        <v>12458</v>
      </c>
      <c r="BF872" t="str">
        <f>HYPERLINK("http://dx.doi.org/10.1029/2002JD002995","http://dx.doi.org/10.1029/2002JD002995")</f>
        <v>http://dx.doi.org/10.1029/2002JD002995</v>
      </c>
      <c r="BG872" t="s">
        <v>74</v>
      </c>
      <c r="BH872" t="s">
        <v>74</v>
      </c>
      <c r="BI872">
        <v>16</v>
      </c>
      <c r="BJ872" t="s">
        <v>186</v>
      </c>
      <c r="BK872" t="s">
        <v>96</v>
      </c>
      <c r="BL872" t="s">
        <v>186</v>
      </c>
      <c r="BM872" t="s">
        <v>12459</v>
      </c>
      <c r="BN872" t="s">
        <v>74</v>
      </c>
      <c r="BO872" t="s">
        <v>541</v>
      </c>
      <c r="BP872" t="s">
        <v>74</v>
      </c>
      <c r="BQ872" t="s">
        <v>74</v>
      </c>
      <c r="BR872" t="s">
        <v>99</v>
      </c>
      <c r="BS872" t="s">
        <v>12460</v>
      </c>
      <c r="BT872" t="str">
        <f>HYPERLINK("https%3A%2F%2Fwww.webofscience.com%2Fwos%2Fwoscc%2Ffull-record%2FWOS:000186508600001","View Full Record in Web of Science")</f>
        <v>View Full Record in Web of Science</v>
      </c>
    </row>
    <row r="873" spans="1:72" x14ac:dyDescent="0.15">
      <c r="A873" t="s">
        <v>72</v>
      </c>
      <c r="B873" t="s">
        <v>12461</v>
      </c>
      <c r="C873" t="s">
        <v>74</v>
      </c>
      <c r="D873" t="s">
        <v>74</v>
      </c>
      <c r="E873" t="s">
        <v>74</v>
      </c>
      <c r="F873" t="s">
        <v>12461</v>
      </c>
      <c r="G873" t="s">
        <v>74</v>
      </c>
      <c r="H873" t="s">
        <v>74</v>
      </c>
      <c r="I873" t="s">
        <v>12462</v>
      </c>
      <c r="J873" t="s">
        <v>2496</v>
      </c>
      <c r="K873" t="s">
        <v>74</v>
      </c>
      <c r="L873" t="s">
        <v>74</v>
      </c>
      <c r="M873" t="s">
        <v>77</v>
      </c>
      <c r="N873" t="s">
        <v>78</v>
      </c>
      <c r="O873" t="s">
        <v>74</v>
      </c>
      <c r="P873" t="s">
        <v>74</v>
      </c>
      <c r="Q873" t="s">
        <v>74</v>
      </c>
      <c r="R873" t="s">
        <v>74</v>
      </c>
      <c r="S873" t="s">
        <v>74</v>
      </c>
      <c r="T873" t="s">
        <v>12463</v>
      </c>
      <c r="U873" t="s">
        <v>12464</v>
      </c>
      <c r="V873" t="s">
        <v>12465</v>
      </c>
      <c r="W873" t="s">
        <v>12466</v>
      </c>
      <c r="X873" t="s">
        <v>12467</v>
      </c>
      <c r="Y873" t="s">
        <v>12468</v>
      </c>
      <c r="Z873" t="s">
        <v>12469</v>
      </c>
      <c r="AA873" t="s">
        <v>12470</v>
      </c>
      <c r="AB873" t="s">
        <v>12471</v>
      </c>
      <c r="AC873" t="s">
        <v>74</v>
      </c>
      <c r="AD873" t="s">
        <v>74</v>
      </c>
      <c r="AE873" t="s">
        <v>74</v>
      </c>
      <c r="AF873" t="s">
        <v>74</v>
      </c>
      <c r="AG873">
        <v>27</v>
      </c>
      <c r="AH873">
        <v>89</v>
      </c>
      <c r="AI873">
        <v>99</v>
      </c>
      <c r="AJ873">
        <v>1</v>
      </c>
      <c r="AK873">
        <v>11</v>
      </c>
      <c r="AL873" t="s">
        <v>2502</v>
      </c>
      <c r="AM873" t="s">
        <v>1417</v>
      </c>
      <c r="AN873" t="s">
        <v>2503</v>
      </c>
      <c r="AO873" t="s">
        <v>2504</v>
      </c>
      <c r="AP873" t="s">
        <v>74</v>
      </c>
      <c r="AQ873" t="s">
        <v>74</v>
      </c>
      <c r="AR873" t="s">
        <v>2505</v>
      </c>
      <c r="AS873" t="s">
        <v>2506</v>
      </c>
      <c r="AT873" t="s">
        <v>12472</v>
      </c>
      <c r="AU873">
        <v>2003</v>
      </c>
      <c r="AV873">
        <v>270</v>
      </c>
      <c r="AW873" t="s">
        <v>74</v>
      </c>
      <c r="AX873" t="s">
        <v>74</v>
      </c>
      <c r="AY873">
        <v>2</v>
      </c>
      <c r="AZ873" t="s">
        <v>74</v>
      </c>
      <c r="BA873" t="s">
        <v>74</v>
      </c>
      <c r="BB873" t="s">
        <v>12473</v>
      </c>
      <c r="BC873" t="s">
        <v>12474</v>
      </c>
      <c r="BD873" t="s">
        <v>74</v>
      </c>
      <c r="BE873" t="s">
        <v>12475</v>
      </c>
      <c r="BF873" t="str">
        <f>HYPERLINK("http://dx.doi.org/10.1098/rsbl.2003.0075","http://dx.doi.org/10.1098/rsbl.2003.0075")</f>
        <v>http://dx.doi.org/10.1098/rsbl.2003.0075</v>
      </c>
      <c r="BG873" t="s">
        <v>74</v>
      </c>
      <c r="BH873" t="s">
        <v>74</v>
      </c>
      <c r="BI873">
        <v>4</v>
      </c>
      <c r="BJ873" t="s">
        <v>2511</v>
      </c>
      <c r="BK873" t="s">
        <v>96</v>
      </c>
      <c r="BL873" t="s">
        <v>2512</v>
      </c>
      <c r="BM873" t="s">
        <v>12476</v>
      </c>
      <c r="BN873">
        <v>14667393</v>
      </c>
      <c r="BO873" t="s">
        <v>479</v>
      </c>
      <c r="BP873" t="s">
        <v>74</v>
      </c>
      <c r="BQ873" t="s">
        <v>74</v>
      </c>
      <c r="BR873" t="s">
        <v>99</v>
      </c>
      <c r="BS873" t="s">
        <v>12477</v>
      </c>
      <c r="BT873" t="str">
        <f>HYPERLINK("https%3A%2F%2Fwww.webofscience.com%2Fwos%2Fwoscc%2Ffull-record%2FWOS:000186662700034","View Full Record in Web of Science")</f>
        <v>View Full Record in Web of Science</v>
      </c>
    </row>
    <row r="874" spans="1:72" x14ac:dyDescent="0.15">
      <c r="A874" t="s">
        <v>72</v>
      </c>
      <c r="B874" t="s">
        <v>12478</v>
      </c>
      <c r="C874" t="s">
        <v>74</v>
      </c>
      <c r="D874" t="s">
        <v>74</v>
      </c>
      <c r="E874" t="s">
        <v>74</v>
      </c>
      <c r="F874" t="s">
        <v>12478</v>
      </c>
      <c r="G874" t="s">
        <v>74</v>
      </c>
      <c r="H874" t="s">
        <v>74</v>
      </c>
      <c r="I874" t="s">
        <v>12479</v>
      </c>
      <c r="J874" t="s">
        <v>2496</v>
      </c>
      <c r="K874" t="s">
        <v>74</v>
      </c>
      <c r="L874" t="s">
        <v>74</v>
      </c>
      <c r="M874" t="s">
        <v>77</v>
      </c>
      <c r="N874" t="s">
        <v>78</v>
      </c>
      <c r="O874" t="s">
        <v>74</v>
      </c>
      <c r="P874" t="s">
        <v>74</v>
      </c>
      <c r="Q874" t="s">
        <v>74</v>
      </c>
      <c r="R874" t="s">
        <v>74</v>
      </c>
      <c r="S874" t="s">
        <v>74</v>
      </c>
      <c r="T874" t="s">
        <v>12480</v>
      </c>
      <c r="U874" t="s">
        <v>12481</v>
      </c>
      <c r="V874" t="s">
        <v>12482</v>
      </c>
      <c r="W874" t="s">
        <v>12483</v>
      </c>
      <c r="X874" t="s">
        <v>82</v>
      </c>
      <c r="Y874" t="s">
        <v>12484</v>
      </c>
      <c r="Z874" t="s">
        <v>2501</v>
      </c>
      <c r="AA874" t="s">
        <v>74</v>
      </c>
      <c r="AB874" t="s">
        <v>74</v>
      </c>
      <c r="AC874" t="s">
        <v>74</v>
      </c>
      <c r="AD874" t="s">
        <v>74</v>
      </c>
      <c r="AE874" t="s">
        <v>74</v>
      </c>
      <c r="AF874" t="s">
        <v>74</v>
      </c>
      <c r="AG874">
        <v>11</v>
      </c>
      <c r="AH874">
        <v>31</v>
      </c>
      <c r="AI874">
        <v>32</v>
      </c>
      <c r="AJ874">
        <v>0</v>
      </c>
      <c r="AK874">
        <v>23</v>
      </c>
      <c r="AL874" t="s">
        <v>2502</v>
      </c>
      <c r="AM874" t="s">
        <v>1417</v>
      </c>
      <c r="AN874" t="s">
        <v>2503</v>
      </c>
      <c r="AO874" t="s">
        <v>2504</v>
      </c>
      <c r="AP874" t="s">
        <v>74</v>
      </c>
      <c r="AQ874" t="s">
        <v>74</v>
      </c>
      <c r="AR874" t="s">
        <v>2505</v>
      </c>
      <c r="AS874" t="s">
        <v>2506</v>
      </c>
      <c r="AT874" t="s">
        <v>12472</v>
      </c>
      <c r="AU874">
        <v>2003</v>
      </c>
      <c r="AV874">
        <v>270</v>
      </c>
      <c r="AW874" t="s">
        <v>74</v>
      </c>
      <c r="AX874" t="s">
        <v>74</v>
      </c>
      <c r="AY874">
        <v>2</v>
      </c>
      <c r="AZ874" t="s">
        <v>74</v>
      </c>
      <c r="BA874" t="s">
        <v>74</v>
      </c>
      <c r="BB874" t="s">
        <v>12485</v>
      </c>
      <c r="BC874" t="s">
        <v>12486</v>
      </c>
      <c r="BD874" t="s">
        <v>74</v>
      </c>
      <c r="BE874" t="s">
        <v>12487</v>
      </c>
      <c r="BF874" t="str">
        <f>HYPERLINK("http://dx.doi.org/10.1098/rsbl.2003.0054","http://dx.doi.org/10.1098/rsbl.2003.0054")</f>
        <v>http://dx.doi.org/10.1098/rsbl.2003.0054</v>
      </c>
      <c r="BG874" t="s">
        <v>74</v>
      </c>
      <c r="BH874" t="s">
        <v>74</v>
      </c>
      <c r="BI874">
        <v>2</v>
      </c>
      <c r="BJ874" t="s">
        <v>2511</v>
      </c>
      <c r="BK874" t="s">
        <v>96</v>
      </c>
      <c r="BL874" t="s">
        <v>2512</v>
      </c>
      <c r="BM874" t="s">
        <v>12476</v>
      </c>
      <c r="BN874">
        <v>14667371</v>
      </c>
      <c r="BO874" t="s">
        <v>479</v>
      </c>
      <c r="BP874" t="s">
        <v>74</v>
      </c>
      <c r="BQ874" t="s">
        <v>74</v>
      </c>
      <c r="BR874" t="s">
        <v>99</v>
      </c>
      <c r="BS874" t="s">
        <v>12488</v>
      </c>
      <c r="BT874" t="str">
        <f>HYPERLINK("https%3A%2F%2Fwww.webofscience.com%2Fwos%2Fwoscc%2Ffull-record%2FWOS:000186662700012","View Full Record in Web of Science")</f>
        <v>View Full Record in Web of Science</v>
      </c>
    </row>
    <row r="875" spans="1:72" x14ac:dyDescent="0.15">
      <c r="A875" t="s">
        <v>72</v>
      </c>
      <c r="B875" t="s">
        <v>12489</v>
      </c>
      <c r="C875" t="s">
        <v>74</v>
      </c>
      <c r="D875" t="s">
        <v>74</v>
      </c>
      <c r="E875" t="s">
        <v>74</v>
      </c>
      <c r="F875" t="s">
        <v>12489</v>
      </c>
      <c r="G875" t="s">
        <v>74</v>
      </c>
      <c r="H875" t="s">
        <v>74</v>
      </c>
      <c r="I875" t="s">
        <v>12490</v>
      </c>
      <c r="J875" t="s">
        <v>12491</v>
      </c>
      <c r="K875" t="s">
        <v>74</v>
      </c>
      <c r="L875" t="s">
        <v>74</v>
      </c>
      <c r="M875" t="s">
        <v>77</v>
      </c>
      <c r="N875" t="s">
        <v>78</v>
      </c>
      <c r="O875" t="s">
        <v>74</v>
      </c>
      <c r="P875" t="s">
        <v>74</v>
      </c>
      <c r="Q875" t="s">
        <v>74</v>
      </c>
      <c r="R875" t="s">
        <v>74</v>
      </c>
      <c r="S875" t="s">
        <v>74</v>
      </c>
      <c r="T875" t="s">
        <v>12492</v>
      </c>
      <c r="U875" t="s">
        <v>12493</v>
      </c>
      <c r="V875" t="s">
        <v>12494</v>
      </c>
      <c r="W875" t="s">
        <v>12495</v>
      </c>
      <c r="X875" t="s">
        <v>12496</v>
      </c>
      <c r="Y875" t="s">
        <v>74</v>
      </c>
      <c r="Z875" t="s">
        <v>12497</v>
      </c>
      <c r="AA875" t="s">
        <v>12498</v>
      </c>
      <c r="AB875" t="s">
        <v>12499</v>
      </c>
      <c r="AC875" t="s">
        <v>74</v>
      </c>
      <c r="AD875" t="s">
        <v>74</v>
      </c>
      <c r="AE875" t="s">
        <v>74</v>
      </c>
      <c r="AF875" t="s">
        <v>74</v>
      </c>
      <c r="AG875">
        <v>25</v>
      </c>
      <c r="AH875">
        <v>54</v>
      </c>
      <c r="AI875">
        <v>63</v>
      </c>
      <c r="AJ875">
        <v>0</v>
      </c>
      <c r="AK875">
        <v>12</v>
      </c>
      <c r="AL875" t="s">
        <v>235</v>
      </c>
      <c r="AM875" t="s">
        <v>87</v>
      </c>
      <c r="AN875" t="s">
        <v>236</v>
      </c>
      <c r="AO875" t="s">
        <v>12500</v>
      </c>
      <c r="AP875" t="s">
        <v>12501</v>
      </c>
      <c r="AQ875" t="s">
        <v>74</v>
      </c>
      <c r="AR875" t="s">
        <v>12502</v>
      </c>
      <c r="AS875" t="s">
        <v>12503</v>
      </c>
      <c r="AT875" t="s">
        <v>12504</v>
      </c>
      <c r="AU875">
        <v>2003</v>
      </c>
      <c r="AV875">
        <v>33</v>
      </c>
      <c r="AW875">
        <v>6</v>
      </c>
      <c r="AX875" t="s">
        <v>74</v>
      </c>
      <c r="AY875" t="s">
        <v>74</v>
      </c>
      <c r="AZ875" t="s">
        <v>74</v>
      </c>
      <c r="BA875" t="s">
        <v>74</v>
      </c>
      <c r="BB875">
        <v>836</v>
      </c>
      <c r="BC875">
        <v>844</v>
      </c>
      <c r="BD875" t="s">
        <v>74</v>
      </c>
      <c r="BE875" t="s">
        <v>12505</v>
      </c>
      <c r="BF875" t="str">
        <f>HYPERLINK("http://dx.doi.org/10.1016/S0141-0229(03)00211-4","http://dx.doi.org/10.1016/S0141-0229(03)00211-4")</f>
        <v>http://dx.doi.org/10.1016/S0141-0229(03)00211-4</v>
      </c>
      <c r="BG875" t="s">
        <v>74</v>
      </c>
      <c r="BH875" t="s">
        <v>74</v>
      </c>
      <c r="BI875">
        <v>9</v>
      </c>
      <c r="BJ875" t="s">
        <v>12506</v>
      </c>
      <c r="BK875" t="s">
        <v>96</v>
      </c>
      <c r="BL875" t="s">
        <v>12506</v>
      </c>
      <c r="BM875" t="s">
        <v>12507</v>
      </c>
      <c r="BN875" t="s">
        <v>74</v>
      </c>
      <c r="BO875" t="s">
        <v>74</v>
      </c>
      <c r="BP875" t="s">
        <v>74</v>
      </c>
      <c r="BQ875" t="s">
        <v>74</v>
      </c>
      <c r="BR875" t="s">
        <v>99</v>
      </c>
      <c r="BS875" t="s">
        <v>12508</v>
      </c>
      <c r="BT875" t="str">
        <f>HYPERLINK("https%3A%2F%2Fwww.webofscience.com%2Fwos%2Fwoscc%2Ffull-record%2FWOS:000185696100010","View Full Record in Web of Science")</f>
        <v>View Full Record in Web of Science</v>
      </c>
    </row>
    <row r="876" spans="1:72" x14ac:dyDescent="0.15">
      <c r="A876" t="s">
        <v>72</v>
      </c>
      <c r="B876" t="s">
        <v>12509</v>
      </c>
      <c r="C876" t="s">
        <v>74</v>
      </c>
      <c r="D876" t="s">
        <v>74</v>
      </c>
      <c r="E876" t="s">
        <v>74</v>
      </c>
      <c r="F876" t="s">
        <v>12509</v>
      </c>
      <c r="G876" t="s">
        <v>74</v>
      </c>
      <c r="H876" t="s">
        <v>74</v>
      </c>
      <c r="I876" t="s">
        <v>12510</v>
      </c>
      <c r="J876" t="s">
        <v>781</v>
      </c>
      <c r="K876" t="s">
        <v>74</v>
      </c>
      <c r="L876" t="s">
        <v>74</v>
      </c>
      <c r="M876" t="s">
        <v>77</v>
      </c>
      <c r="N876" t="s">
        <v>78</v>
      </c>
      <c r="O876" t="s">
        <v>74</v>
      </c>
      <c r="P876" t="s">
        <v>74</v>
      </c>
      <c r="Q876" t="s">
        <v>74</v>
      </c>
      <c r="R876" t="s">
        <v>74</v>
      </c>
      <c r="S876" t="s">
        <v>74</v>
      </c>
      <c r="T876" t="s">
        <v>12511</v>
      </c>
      <c r="U876" t="s">
        <v>12512</v>
      </c>
      <c r="V876" t="s">
        <v>12513</v>
      </c>
      <c r="W876" t="s">
        <v>785</v>
      </c>
      <c r="X876" t="s">
        <v>82</v>
      </c>
      <c r="Y876" t="s">
        <v>786</v>
      </c>
      <c r="Z876" t="s">
        <v>12514</v>
      </c>
      <c r="AA876" t="s">
        <v>768</v>
      </c>
      <c r="AB876" t="s">
        <v>769</v>
      </c>
      <c r="AC876" t="s">
        <v>74</v>
      </c>
      <c r="AD876" t="s">
        <v>74</v>
      </c>
      <c r="AE876" t="s">
        <v>74</v>
      </c>
      <c r="AF876" t="s">
        <v>74</v>
      </c>
      <c r="AG876">
        <v>37</v>
      </c>
      <c r="AH876">
        <v>16</v>
      </c>
      <c r="AI876">
        <v>17</v>
      </c>
      <c r="AJ876">
        <v>1</v>
      </c>
      <c r="AK876">
        <v>9</v>
      </c>
      <c r="AL876" t="s">
        <v>363</v>
      </c>
      <c r="AM876" t="s">
        <v>364</v>
      </c>
      <c r="AN876" t="s">
        <v>365</v>
      </c>
      <c r="AO876" t="s">
        <v>788</v>
      </c>
      <c r="AP876" t="s">
        <v>789</v>
      </c>
      <c r="AQ876" t="s">
        <v>74</v>
      </c>
      <c r="AR876" t="s">
        <v>790</v>
      </c>
      <c r="AS876" t="s">
        <v>791</v>
      </c>
      <c r="AT876" t="s">
        <v>12504</v>
      </c>
      <c r="AU876">
        <v>2003</v>
      </c>
      <c r="AV876">
        <v>108</v>
      </c>
      <c r="AW876" t="s">
        <v>792</v>
      </c>
      <c r="AX876" t="s">
        <v>74</v>
      </c>
      <c r="AY876" t="s">
        <v>74</v>
      </c>
      <c r="AZ876" t="s">
        <v>74</v>
      </c>
      <c r="BA876" t="s">
        <v>74</v>
      </c>
      <c r="BB876" t="s">
        <v>74</v>
      </c>
      <c r="BC876" t="s">
        <v>74</v>
      </c>
      <c r="BD876" t="s">
        <v>12515</v>
      </c>
      <c r="BE876" t="s">
        <v>12516</v>
      </c>
      <c r="BF876" t="str">
        <f>HYPERLINK("http://dx.doi.org/10.1029/2003JF000021","http://dx.doi.org/10.1029/2003JF000021")</f>
        <v>http://dx.doi.org/10.1029/2003JF000021</v>
      </c>
      <c r="BG876" t="s">
        <v>74</v>
      </c>
      <c r="BH876" t="s">
        <v>74</v>
      </c>
      <c r="BI876">
        <v>16</v>
      </c>
      <c r="BJ876" t="s">
        <v>560</v>
      </c>
      <c r="BK876" t="s">
        <v>96</v>
      </c>
      <c r="BL876" t="s">
        <v>561</v>
      </c>
      <c r="BM876" t="s">
        <v>12517</v>
      </c>
      <c r="BN876" t="s">
        <v>74</v>
      </c>
      <c r="BO876" t="s">
        <v>74</v>
      </c>
      <c r="BP876" t="s">
        <v>74</v>
      </c>
      <c r="BQ876" t="s">
        <v>74</v>
      </c>
      <c r="BR876" t="s">
        <v>99</v>
      </c>
      <c r="BS876" t="s">
        <v>12518</v>
      </c>
      <c r="BT876" t="str">
        <f>HYPERLINK("https%3A%2F%2Fwww.webofscience.com%2Fwos%2Fwoscc%2Ffull-record%2FWOS:000224566100001","View Full Record in Web of Science")</f>
        <v>View Full Record in Web of Science</v>
      </c>
    </row>
    <row r="877" spans="1:72" x14ac:dyDescent="0.15">
      <c r="A877" t="s">
        <v>72</v>
      </c>
      <c r="B877" t="s">
        <v>12519</v>
      </c>
      <c r="C877" t="s">
        <v>74</v>
      </c>
      <c r="D877" t="s">
        <v>74</v>
      </c>
      <c r="E877" t="s">
        <v>74</v>
      </c>
      <c r="F877" t="s">
        <v>12519</v>
      </c>
      <c r="G877" t="s">
        <v>74</v>
      </c>
      <c r="H877" t="s">
        <v>74</v>
      </c>
      <c r="I877" t="s">
        <v>12520</v>
      </c>
      <c r="J877" t="s">
        <v>4189</v>
      </c>
      <c r="K877" t="s">
        <v>74</v>
      </c>
      <c r="L877" t="s">
        <v>74</v>
      </c>
      <c r="M877" t="s">
        <v>77</v>
      </c>
      <c r="N877" t="s">
        <v>78</v>
      </c>
      <c r="O877" t="s">
        <v>74</v>
      </c>
      <c r="P877" t="s">
        <v>74</v>
      </c>
      <c r="Q877" t="s">
        <v>74</v>
      </c>
      <c r="R877" t="s">
        <v>74</v>
      </c>
      <c r="S877" t="s">
        <v>74</v>
      </c>
      <c r="T877" t="s">
        <v>12521</v>
      </c>
      <c r="U877" t="s">
        <v>12522</v>
      </c>
      <c r="V877" t="s">
        <v>12523</v>
      </c>
      <c r="W877" t="s">
        <v>12524</v>
      </c>
      <c r="X877" t="s">
        <v>12525</v>
      </c>
      <c r="Y877" t="s">
        <v>12526</v>
      </c>
      <c r="Z877" t="s">
        <v>12527</v>
      </c>
      <c r="AA877" t="s">
        <v>12528</v>
      </c>
      <c r="AB877" t="s">
        <v>12529</v>
      </c>
      <c r="AC877" t="s">
        <v>74</v>
      </c>
      <c r="AD877" t="s">
        <v>74</v>
      </c>
      <c r="AE877" t="s">
        <v>74</v>
      </c>
      <c r="AF877" t="s">
        <v>74</v>
      </c>
      <c r="AG877">
        <v>29</v>
      </c>
      <c r="AH877">
        <v>9</v>
      </c>
      <c r="AI877">
        <v>9</v>
      </c>
      <c r="AJ877">
        <v>0</v>
      </c>
      <c r="AK877">
        <v>2</v>
      </c>
      <c r="AL877" t="s">
        <v>4195</v>
      </c>
      <c r="AM877" t="s">
        <v>4196</v>
      </c>
      <c r="AN877" t="s">
        <v>4197</v>
      </c>
      <c r="AO877" t="s">
        <v>4198</v>
      </c>
      <c r="AP877" t="s">
        <v>4199</v>
      </c>
      <c r="AQ877" t="s">
        <v>74</v>
      </c>
      <c r="AR877" t="s">
        <v>4200</v>
      </c>
      <c r="AS877" t="s">
        <v>4201</v>
      </c>
      <c r="AT877" t="s">
        <v>12530</v>
      </c>
      <c r="AU877">
        <v>2003</v>
      </c>
      <c r="AV877">
        <v>21</v>
      </c>
      <c r="AW877">
        <v>11</v>
      </c>
      <c r="AX877" t="s">
        <v>74</v>
      </c>
      <c r="AY877" t="s">
        <v>74</v>
      </c>
      <c r="AZ877" t="s">
        <v>74</v>
      </c>
      <c r="BA877" t="s">
        <v>74</v>
      </c>
      <c r="BB877">
        <v>2175</v>
      </c>
      <c r="BC877">
        <v>2183</v>
      </c>
      <c r="BD877" t="s">
        <v>74</v>
      </c>
      <c r="BE877" t="s">
        <v>12531</v>
      </c>
      <c r="BF877" t="str">
        <f>HYPERLINK("http://dx.doi.org/10.5194/angeo-21-2175-2003","http://dx.doi.org/10.5194/angeo-21-2175-2003")</f>
        <v>http://dx.doi.org/10.5194/angeo-21-2175-2003</v>
      </c>
      <c r="BG877" t="s">
        <v>74</v>
      </c>
      <c r="BH877" t="s">
        <v>74</v>
      </c>
      <c r="BI877">
        <v>9</v>
      </c>
      <c r="BJ877" t="s">
        <v>4203</v>
      </c>
      <c r="BK877" t="s">
        <v>96</v>
      </c>
      <c r="BL877" t="s">
        <v>4204</v>
      </c>
      <c r="BM877" t="s">
        <v>12532</v>
      </c>
      <c r="BN877" t="s">
        <v>74</v>
      </c>
      <c r="BO877" t="s">
        <v>12533</v>
      </c>
      <c r="BP877" t="s">
        <v>74</v>
      </c>
      <c r="BQ877" t="s">
        <v>74</v>
      </c>
      <c r="BR877" t="s">
        <v>99</v>
      </c>
      <c r="BS877" t="s">
        <v>12534</v>
      </c>
      <c r="BT877" t="str">
        <f>HYPERLINK("https%3A%2F%2Fwww.webofscience.com%2Fwos%2Fwoscc%2Ffull-record%2FWOS:000189047700005","View Full Record in Web of Science")</f>
        <v>View Full Record in Web of Science</v>
      </c>
    </row>
    <row r="878" spans="1:72" x14ac:dyDescent="0.15">
      <c r="A878" t="s">
        <v>72</v>
      </c>
      <c r="B878" t="s">
        <v>12535</v>
      </c>
      <c r="C878" t="s">
        <v>74</v>
      </c>
      <c r="D878" t="s">
        <v>74</v>
      </c>
      <c r="E878" t="s">
        <v>74</v>
      </c>
      <c r="F878" t="s">
        <v>12535</v>
      </c>
      <c r="G878" t="s">
        <v>74</v>
      </c>
      <c r="H878" t="s">
        <v>74</v>
      </c>
      <c r="I878" t="s">
        <v>12536</v>
      </c>
      <c r="J878" t="s">
        <v>2576</v>
      </c>
      <c r="K878" t="s">
        <v>74</v>
      </c>
      <c r="L878" t="s">
        <v>74</v>
      </c>
      <c r="M878" t="s">
        <v>77</v>
      </c>
      <c r="N878" t="s">
        <v>78</v>
      </c>
      <c r="O878" t="s">
        <v>74</v>
      </c>
      <c r="P878" t="s">
        <v>74</v>
      </c>
      <c r="Q878" t="s">
        <v>74</v>
      </c>
      <c r="R878" t="s">
        <v>74</v>
      </c>
      <c r="S878" t="s">
        <v>74</v>
      </c>
      <c r="T878" t="s">
        <v>74</v>
      </c>
      <c r="U878" t="s">
        <v>12537</v>
      </c>
      <c r="V878" t="s">
        <v>12538</v>
      </c>
      <c r="W878" t="s">
        <v>12539</v>
      </c>
      <c r="X878" t="s">
        <v>12540</v>
      </c>
      <c r="Y878" t="s">
        <v>12541</v>
      </c>
      <c r="Z878" t="s">
        <v>12542</v>
      </c>
      <c r="AA878" t="s">
        <v>12543</v>
      </c>
      <c r="AB878" t="s">
        <v>12544</v>
      </c>
      <c r="AC878" t="s">
        <v>74</v>
      </c>
      <c r="AD878" t="s">
        <v>74</v>
      </c>
      <c r="AE878" t="s">
        <v>74</v>
      </c>
      <c r="AF878" t="s">
        <v>74</v>
      </c>
      <c r="AG878">
        <v>66</v>
      </c>
      <c r="AH878">
        <v>316</v>
      </c>
      <c r="AI878">
        <v>370</v>
      </c>
      <c r="AJ878">
        <v>1</v>
      </c>
      <c r="AK878">
        <v>50</v>
      </c>
      <c r="AL878" t="s">
        <v>2583</v>
      </c>
      <c r="AM878" t="s">
        <v>364</v>
      </c>
      <c r="AN878" t="s">
        <v>2584</v>
      </c>
      <c r="AO878" t="s">
        <v>2585</v>
      </c>
      <c r="AP878" t="s">
        <v>74</v>
      </c>
      <c r="AQ878" t="s">
        <v>74</v>
      </c>
      <c r="AR878" t="s">
        <v>2587</v>
      </c>
      <c r="AS878" t="s">
        <v>2588</v>
      </c>
      <c r="AT878" t="s">
        <v>12530</v>
      </c>
      <c r="AU878">
        <v>2003</v>
      </c>
      <c r="AV878">
        <v>69</v>
      </c>
      <c r="AW878">
        <v>11</v>
      </c>
      <c r="AX878" t="s">
        <v>74</v>
      </c>
      <c r="AY878" t="s">
        <v>74</v>
      </c>
      <c r="AZ878" t="s">
        <v>74</v>
      </c>
      <c r="BA878" t="s">
        <v>74</v>
      </c>
      <c r="BB878">
        <v>6610</v>
      </c>
      <c r="BC878">
        <v>6619</v>
      </c>
      <c r="BD878" t="s">
        <v>74</v>
      </c>
      <c r="BE878" t="s">
        <v>12545</v>
      </c>
      <c r="BF878" t="str">
        <f>HYPERLINK("http://dx.doi.org/10.1128/AEM.69.11.6610-6619.2003","http://dx.doi.org/10.1128/AEM.69.11.6610-6619.2003")</f>
        <v>http://dx.doi.org/10.1128/AEM.69.11.6610-6619.2003</v>
      </c>
      <c r="BG878" t="s">
        <v>74</v>
      </c>
      <c r="BH878" t="s">
        <v>74</v>
      </c>
      <c r="BI878">
        <v>10</v>
      </c>
      <c r="BJ878" t="s">
        <v>2092</v>
      </c>
      <c r="BK878" t="s">
        <v>96</v>
      </c>
      <c r="BL878" t="s">
        <v>2092</v>
      </c>
      <c r="BM878" t="s">
        <v>12546</v>
      </c>
      <c r="BN878">
        <v>14602620</v>
      </c>
      <c r="BO878" t="s">
        <v>479</v>
      </c>
      <c r="BP878" t="s">
        <v>74</v>
      </c>
      <c r="BQ878" t="s">
        <v>74</v>
      </c>
      <c r="BR878" t="s">
        <v>99</v>
      </c>
      <c r="BS878" t="s">
        <v>12547</v>
      </c>
      <c r="BT878" t="str">
        <f>HYPERLINK("https%3A%2F%2Fwww.webofscience.com%2Fwos%2Fwoscc%2Ffull-record%2FWOS:000186427800036","View Full Record in Web of Science")</f>
        <v>View Full Record in Web of Science</v>
      </c>
    </row>
    <row r="879" spans="1:72" x14ac:dyDescent="0.15">
      <c r="A879" t="s">
        <v>72</v>
      </c>
      <c r="B879" t="s">
        <v>12548</v>
      </c>
      <c r="C879" t="s">
        <v>74</v>
      </c>
      <c r="D879" t="s">
        <v>74</v>
      </c>
      <c r="E879" t="s">
        <v>74</v>
      </c>
      <c r="F879" t="s">
        <v>12548</v>
      </c>
      <c r="G879" t="s">
        <v>74</v>
      </c>
      <c r="H879" t="s">
        <v>74</v>
      </c>
      <c r="I879" t="s">
        <v>12549</v>
      </c>
      <c r="J879" t="s">
        <v>2634</v>
      </c>
      <c r="K879" t="s">
        <v>74</v>
      </c>
      <c r="L879" t="s">
        <v>74</v>
      </c>
      <c r="M879" t="s">
        <v>77</v>
      </c>
      <c r="N879" t="s">
        <v>78</v>
      </c>
      <c r="O879" t="s">
        <v>74</v>
      </c>
      <c r="P879" t="s">
        <v>74</v>
      </c>
      <c r="Q879" t="s">
        <v>74</v>
      </c>
      <c r="R879" t="s">
        <v>74</v>
      </c>
      <c r="S879" t="s">
        <v>74</v>
      </c>
      <c r="T879" t="s">
        <v>74</v>
      </c>
      <c r="U879" t="s">
        <v>12550</v>
      </c>
      <c r="V879" t="s">
        <v>12551</v>
      </c>
      <c r="W879" t="s">
        <v>9415</v>
      </c>
      <c r="X879" t="s">
        <v>2758</v>
      </c>
      <c r="Y879" t="s">
        <v>12552</v>
      </c>
      <c r="Z879" t="s">
        <v>12553</v>
      </c>
      <c r="AA879" t="s">
        <v>12554</v>
      </c>
      <c r="AB879" t="s">
        <v>12555</v>
      </c>
      <c r="AC879" t="s">
        <v>74</v>
      </c>
      <c r="AD879" t="s">
        <v>74</v>
      </c>
      <c r="AE879" t="s">
        <v>74</v>
      </c>
      <c r="AF879" t="s">
        <v>74</v>
      </c>
      <c r="AG879">
        <v>48</v>
      </c>
      <c r="AH879">
        <v>46</v>
      </c>
      <c r="AI879">
        <v>51</v>
      </c>
      <c r="AJ879">
        <v>3</v>
      </c>
      <c r="AK879">
        <v>45</v>
      </c>
      <c r="AL879" t="s">
        <v>2683</v>
      </c>
      <c r="AM879" t="s">
        <v>1313</v>
      </c>
      <c r="AN879" t="s">
        <v>2684</v>
      </c>
      <c r="AO879" t="s">
        <v>2645</v>
      </c>
      <c r="AP879" t="s">
        <v>2646</v>
      </c>
      <c r="AQ879" t="s">
        <v>74</v>
      </c>
      <c r="AR879" t="s">
        <v>2647</v>
      </c>
      <c r="AS879" t="s">
        <v>2648</v>
      </c>
      <c r="AT879" t="s">
        <v>12530</v>
      </c>
      <c r="AU879">
        <v>2003</v>
      </c>
      <c r="AV879">
        <v>35</v>
      </c>
      <c r="AW879">
        <v>4</v>
      </c>
      <c r="AX879" t="s">
        <v>74</v>
      </c>
      <c r="AY879" t="s">
        <v>74</v>
      </c>
      <c r="AZ879" t="s">
        <v>74</v>
      </c>
      <c r="BA879" t="s">
        <v>74</v>
      </c>
      <c r="BB879">
        <v>411</v>
      </c>
      <c r="BC879">
        <v>420</v>
      </c>
      <c r="BD879" t="s">
        <v>74</v>
      </c>
      <c r="BE879" t="s">
        <v>12556</v>
      </c>
      <c r="BF879" t="str">
        <f>HYPERLINK("http://dx.doi.org/10.1657/1523-0430(2003)035[0411:VOHTIA]2.0.CO;2","http://dx.doi.org/10.1657/1523-0430(2003)035[0411:VOHTIA]2.0.CO;2")</f>
        <v>http://dx.doi.org/10.1657/1523-0430(2003)035[0411:VOHTIA]2.0.CO;2</v>
      </c>
      <c r="BG879" t="s">
        <v>74</v>
      </c>
      <c r="BH879" t="s">
        <v>74</v>
      </c>
      <c r="BI879">
        <v>10</v>
      </c>
      <c r="BJ879" t="s">
        <v>2650</v>
      </c>
      <c r="BK879" t="s">
        <v>96</v>
      </c>
      <c r="BL879" t="s">
        <v>2651</v>
      </c>
      <c r="BM879" t="s">
        <v>12557</v>
      </c>
      <c r="BN879" t="s">
        <v>74</v>
      </c>
      <c r="BO879" t="s">
        <v>156</v>
      </c>
      <c r="BP879" t="s">
        <v>74</v>
      </c>
      <c r="BQ879" t="s">
        <v>74</v>
      </c>
      <c r="BR879" t="s">
        <v>99</v>
      </c>
      <c r="BS879" t="s">
        <v>12558</v>
      </c>
      <c r="BT879" t="str">
        <f>HYPERLINK("https%3A%2F%2Fwww.webofscience.com%2Fwos%2Fwoscc%2Ffull-record%2FWOS:000189380400001","View Full Record in Web of Science")</f>
        <v>View Full Record in Web of Science</v>
      </c>
    </row>
    <row r="880" spans="1:72" x14ac:dyDescent="0.15">
      <c r="A880" t="s">
        <v>72</v>
      </c>
      <c r="B880" t="s">
        <v>12559</v>
      </c>
      <c r="C880" t="s">
        <v>74</v>
      </c>
      <c r="D880" t="s">
        <v>74</v>
      </c>
      <c r="E880" t="s">
        <v>74</v>
      </c>
      <c r="F880" t="s">
        <v>12559</v>
      </c>
      <c r="G880" t="s">
        <v>74</v>
      </c>
      <c r="H880" t="s">
        <v>74</v>
      </c>
      <c r="I880" t="s">
        <v>12560</v>
      </c>
      <c r="J880" t="s">
        <v>2634</v>
      </c>
      <c r="K880" t="s">
        <v>74</v>
      </c>
      <c r="L880" t="s">
        <v>74</v>
      </c>
      <c r="M880" t="s">
        <v>77</v>
      </c>
      <c r="N880" t="s">
        <v>78</v>
      </c>
      <c r="O880" t="s">
        <v>74</v>
      </c>
      <c r="P880" t="s">
        <v>74</v>
      </c>
      <c r="Q880" t="s">
        <v>74</v>
      </c>
      <c r="R880" t="s">
        <v>74</v>
      </c>
      <c r="S880" t="s">
        <v>74</v>
      </c>
      <c r="T880" t="s">
        <v>74</v>
      </c>
      <c r="U880" t="s">
        <v>12561</v>
      </c>
      <c r="V880" t="s">
        <v>12562</v>
      </c>
      <c r="W880" t="s">
        <v>12563</v>
      </c>
      <c r="X880" t="s">
        <v>12564</v>
      </c>
      <c r="Y880" t="s">
        <v>12565</v>
      </c>
      <c r="Z880" t="s">
        <v>12566</v>
      </c>
      <c r="AA880" t="s">
        <v>74</v>
      </c>
      <c r="AB880" t="s">
        <v>12567</v>
      </c>
      <c r="AC880" t="s">
        <v>74</v>
      </c>
      <c r="AD880" t="s">
        <v>74</v>
      </c>
      <c r="AE880" t="s">
        <v>74</v>
      </c>
      <c r="AF880" t="s">
        <v>74</v>
      </c>
      <c r="AG880">
        <v>46</v>
      </c>
      <c r="AH880">
        <v>11</v>
      </c>
      <c r="AI880">
        <v>14</v>
      </c>
      <c r="AJ880">
        <v>1</v>
      </c>
      <c r="AK880">
        <v>20</v>
      </c>
      <c r="AL880" t="s">
        <v>2683</v>
      </c>
      <c r="AM880" t="s">
        <v>1313</v>
      </c>
      <c r="AN880" t="s">
        <v>2684</v>
      </c>
      <c r="AO880" t="s">
        <v>2645</v>
      </c>
      <c r="AP880" t="s">
        <v>2646</v>
      </c>
      <c r="AQ880" t="s">
        <v>74</v>
      </c>
      <c r="AR880" t="s">
        <v>2647</v>
      </c>
      <c r="AS880" t="s">
        <v>2648</v>
      </c>
      <c r="AT880" t="s">
        <v>12530</v>
      </c>
      <c r="AU880">
        <v>2003</v>
      </c>
      <c r="AV880">
        <v>35</v>
      </c>
      <c r="AW880">
        <v>4</v>
      </c>
      <c r="AX880" t="s">
        <v>74</v>
      </c>
      <c r="AY880" t="s">
        <v>74</v>
      </c>
      <c r="AZ880" t="s">
        <v>74</v>
      </c>
      <c r="BA880" t="s">
        <v>74</v>
      </c>
      <c r="BB880">
        <v>421</v>
      </c>
      <c r="BC880">
        <v>428</v>
      </c>
      <c r="BD880" t="s">
        <v>74</v>
      </c>
      <c r="BE880" t="s">
        <v>12568</v>
      </c>
      <c r="BF880" t="str">
        <f>HYPERLINK("http://dx.doi.org/10.1657/1523-0430(2003)035[0421:EOGBDO]2.0.CO;2","http://dx.doi.org/10.1657/1523-0430(2003)035[0421:EOGBDO]2.0.CO;2")</f>
        <v>http://dx.doi.org/10.1657/1523-0430(2003)035[0421:EOGBDO]2.0.CO;2</v>
      </c>
      <c r="BG880" t="s">
        <v>74</v>
      </c>
      <c r="BH880" t="s">
        <v>74</v>
      </c>
      <c r="BI880">
        <v>8</v>
      </c>
      <c r="BJ880" t="s">
        <v>2650</v>
      </c>
      <c r="BK880" t="s">
        <v>96</v>
      </c>
      <c r="BL880" t="s">
        <v>2651</v>
      </c>
      <c r="BM880" t="s">
        <v>12557</v>
      </c>
      <c r="BN880" t="s">
        <v>74</v>
      </c>
      <c r="BO880" t="s">
        <v>286</v>
      </c>
      <c r="BP880" t="s">
        <v>74</v>
      </c>
      <c r="BQ880" t="s">
        <v>74</v>
      </c>
      <c r="BR880" t="s">
        <v>99</v>
      </c>
      <c r="BS880" t="s">
        <v>12569</v>
      </c>
      <c r="BT880" t="str">
        <f>HYPERLINK("https%3A%2F%2Fwww.webofscience.com%2Fwos%2Fwoscc%2Ffull-record%2FWOS:000189380400002","View Full Record in Web of Science")</f>
        <v>View Full Record in Web of Science</v>
      </c>
    </row>
    <row r="881" spans="1:72" x14ac:dyDescent="0.15">
      <c r="A881" t="s">
        <v>72</v>
      </c>
      <c r="B881" t="s">
        <v>12570</v>
      </c>
      <c r="C881" t="s">
        <v>74</v>
      </c>
      <c r="D881" t="s">
        <v>74</v>
      </c>
      <c r="E881" t="s">
        <v>74</v>
      </c>
      <c r="F881" t="s">
        <v>12570</v>
      </c>
      <c r="G881" t="s">
        <v>74</v>
      </c>
      <c r="H881" t="s">
        <v>74</v>
      </c>
      <c r="I881" t="s">
        <v>12571</v>
      </c>
      <c r="J881" t="s">
        <v>2634</v>
      </c>
      <c r="K881" t="s">
        <v>74</v>
      </c>
      <c r="L881" t="s">
        <v>74</v>
      </c>
      <c r="M881" t="s">
        <v>77</v>
      </c>
      <c r="N881" t="s">
        <v>78</v>
      </c>
      <c r="O881" t="s">
        <v>74</v>
      </c>
      <c r="P881" t="s">
        <v>74</v>
      </c>
      <c r="Q881" t="s">
        <v>74</v>
      </c>
      <c r="R881" t="s">
        <v>74</v>
      </c>
      <c r="S881" t="s">
        <v>74</v>
      </c>
      <c r="T881" t="s">
        <v>74</v>
      </c>
      <c r="U881" t="s">
        <v>12572</v>
      </c>
      <c r="V881" t="s">
        <v>12573</v>
      </c>
      <c r="W881" t="s">
        <v>12574</v>
      </c>
      <c r="X881" t="s">
        <v>12575</v>
      </c>
      <c r="Y881" t="s">
        <v>12576</v>
      </c>
      <c r="Z881" t="s">
        <v>12577</v>
      </c>
      <c r="AA881" t="s">
        <v>74</v>
      </c>
      <c r="AB881" t="s">
        <v>74</v>
      </c>
      <c r="AC881" t="s">
        <v>74</v>
      </c>
      <c r="AD881" t="s">
        <v>74</v>
      </c>
      <c r="AE881" t="s">
        <v>74</v>
      </c>
      <c r="AF881" t="s">
        <v>74</v>
      </c>
      <c r="AG881">
        <v>37</v>
      </c>
      <c r="AH881">
        <v>6</v>
      </c>
      <c r="AI881">
        <v>7</v>
      </c>
      <c r="AJ881">
        <v>0</v>
      </c>
      <c r="AK881">
        <v>11</v>
      </c>
      <c r="AL881" t="s">
        <v>2683</v>
      </c>
      <c r="AM881" t="s">
        <v>1313</v>
      </c>
      <c r="AN881" t="s">
        <v>2684</v>
      </c>
      <c r="AO881" t="s">
        <v>2645</v>
      </c>
      <c r="AP881" t="s">
        <v>2646</v>
      </c>
      <c r="AQ881" t="s">
        <v>74</v>
      </c>
      <c r="AR881" t="s">
        <v>2647</v>
      </c>
      <c r="AS881" t="s">
        <v>2648</v>
      </c>
      <c r="AT881" t="s">
        <v>12530</v>
      </c>
      <c r="AU881">
        <v>2003</v>
      </c>
      <c r="AV881">
        <v>35</v>
      </c>
      <c r="AW881">
        <v>4</v>
      </c>
      <c r="AX881" t="s">
        <v>74</v>
      </c>
      <c r="AY881" t="s">
        <v>74</v>
      </c>
      <c r="AZ881" t="s">
        <v>74</v>
      </c>
      <c r="BA881" t="s">
        <v>74</v>
      </c>
      <c r="BB881">
        <v>429</v>
      </c>
      <c r="BC881">
        <v>433</v>
      </c>
      <c r="BD881" t="s">
        <v>74</v>
      </c>
      <c r="BE881" t="s">
        <v>12578</v>
      </c>
      <c r="BF881" t="str">
        <f>HYPERLINK("http://dx.doi.org/10.1657/1523-0430(2003)035[0429:GVAIEI]2.0.CO;2","http://dx.doi.org/10.1657/1523-0430(2003)035[0429:GVAIEI]2.0.CO;2")</f>
        <v>http://dx.doi.org/10.1657/1523-0430(2003)035[0429:GVAIEI]2.0.CO;2</v>
      </c>
      <c r="BG881" t="s">
        <v>74</v>
      </c>
      <c r="BH881" t="s">
        <v>74</v>
      </c>
      <c r="BI881">
        <v>5</v>
      </c>
      <c r="BJ881" t="s">
        <v>2650</v>
      </c>
      <c r="BK881" t="s">
        <v>96</v>
      </c>
      <c r="BL881" t="s">
        <v>2651</v>
      </c>
      <c r="BM881" t="s">
        <v>12557</v>
      </c>
      <c r="BN881" t="s">
        <v>74</v>
      </c>
      <c r="BO881" t="s">
        <v>156</v>
      </c>
      <c r="BP881" t="s">
        <v>74</v>
      </c>
      <c r="BQ881" t="s">
        <v>74</v>
      </c>
      <c r="BR881" t="s">
        <v>99</v>
      </c>
      <c r="BS881" t="s">
        <v>12579</v>
      </c>
      <c r="BT881" t="str">
        <f>HYPERLINK("https%3A%2F%2Fwww.webofscience.com%2Fwos%2Fwoscc%2Ffull-record%2FWOS:000189380400003","View Full Record in Web of Science")</f>
        <v>View Full Record in Web of Science</v>
      </c>
    </row>
    <row r="882" spans="1:72" x14ac:dyDescent="0.15">
      <c r="A882" t="s">
        <v>72</v>
      </c>
      <c r="B882" t="s">
        <v>12580</v>
      </c>
      <c r="C882" t="s">
        <v>74</v>
      </c>
      <c r="D882" t="s">
        <v>74</v>
      </c>
      <c r="E882" t="s">
        <v>74</v>
      </c>
      <c r="F882" t="s">
        <v>12580</v>
      </c>
      <c r="G882" t="s">
        <v>74</v>
      </c>
      <c r="H882" t="s">
        <v>74</v>
      </c>
      <c r="I882" t="s">
        <v>12581</v>
      </c>
      <c r="J882" t="s">
        <v>2634</v>
      </c>
      <c r="K882" t="s">
        <v>74</v>
      </c>
      <c r="L882" t="s">
        <v>74</v>
      </c>
      <c r="M882" t="s">
        <v>77</v>
      </c>
      <c r="N882" t="s">
        <v>78</v>
      </c>
      <c r="O882" t="s">
        <v>74</v>
      </c>
      <c r="P882" t="s">
        <v>74</v>
      </c>
      <c r="Q882" t="s">
        <v>74</v>
      </c>
      <c r="R882" t="s">
        <v>74</v>
      </c>
      <c r="S882" t="s">
        <v>74</v>
      </c>
      <c r="T882" t="s">
        <v>74</v>
      </c>
      <c r="U882" t="s">
        <v>12582</v>
      </c>
      <c r="V882" t="s">
        <v>12583</v>
      </c>
      <c r="W882" t="s">
        <v>12584</v>
      </c>
      <c r="X882" t="s">
        <v>12585</v>
      </c>
      <c r="Y882" t="s">
        <v>12586</v>
      </c>
      <c r="Z882" t="s">
        <v>12587</v>
      </c>
      <c r="AA882" t="s">
        <v>74</v>
      </c>
      <c r="AB882" t="s">
        <v>12588</v>
      </c>
      <c r="AC882" t="s">
        <v>74</v>
      </c>
      <c r="AD882" t="s">
        <v>74</v>
      </c>
      <c r="AE882" t="s">
        <v>74</v>
      </c>
      <c r="AF882" t="s">
        <v>74</v>
      </c>
      <c r="AG882">
        <v>62</v>
      </c>
      <c r="AH882">
        <v>126</v>
      </c>
      <c r="AI882">
        <v>139</v>
      </c>
      <c r="AJ882">
        <v>2</v>
      </c>
      <c r="AK882">
        <v>72</v>
      </c>
      <c r="AL882" t="s">
        <v>2683</v>
      </c>
      <c r="AM882" t="s">
        <v>1313</v>
      </c>
      <c r="AN882" t="s">
        <v>2684</v>
      </c>
      <c r="AO882" t="s">
        <v>2645</v>
      </c>
      <c r="AP882" t="s">
        <v>2646</v>
      </c>
      <c r="AQ882" t="s">
        <v>74</v>
      </c>
      <c r="AR882" t="s">
        <v>2647</v>
      </c>
      <c r="AS882" t="s">
        <v>2648</v>
      </c>
      <c r="AT882" t="s">
        <v>12530</v>
      </c>
      <c r="AU882">
        <v>2003</v>
      </c>
      <c r="AV882">
        <v>35</v>
      </c>
      <c r="AW882">
        <v>4</v>
      </c>
      <c r="AX882" t="s">
        <v>74</v>
      </c>
      <c r="AY882" t="s">
        <v>74</v>
      </c>
      <c r="AZ882" t="s">
        <v>74</v>
      </c>
      <c r="BA882" t="s">
        <v>74</v>
      </c>
      <c r="BB882">
        <v>434</v>
      </c>
      <c r="BC882">
        <v>441</v>
      </c>
      <c r="BD882" t="s">
        <v>74</v>
      </c>
      <c r="BE882" t="s">
        <v>12589</v>
      </c>
      <c r="BF882" t="str">
        <f>HYPERLINK("http://dx.doi.org/10.1657/1523-0430(2003)035[0434:POSIIH]2.0.CO;2","http://dx.doi.org/10.1657/1523-0430(2003)035[0434:POSIIH]2.0.CO;2")</f>
        <v>http://dx.doi.org/10.1657/1523-0430(2003)035[0434:POSIIH]2.0.CO;2</v>
      </c>
      <c r="BG882" t="s">
        <v>74</v>
      </c>
      <c r="BH882" t="s">
        <v>74</v>
      </c>
      <c r="BI882">
        <v>8</v>
      </c>
      <c r="BJ882" t="s">
        <v>2650</v>
      </c>
      <c r="BK882" t="s">
        <v>96</v>
      </c>
      <c r="BL882" t="s">
        <v>2651</v>
      </c>
      <c r="BM882" t="s">
        <v>12557</v>
      </c>
      <c r="BN882" t="s">
        <v>74</v>
      </c>
      <c r="BO882" t="s">
        <v>156</v>
      </c>
      <c r="BP882" t="s">
        <v>74</v>
      </c>
      <c r="BQ882" t="s">
        <v>74</v>
      </c>
      <c r="BR882" t="s">
        <v>99</v>
      </c>
      <c r="BS882" t="s">
        <v>12590</v>
      </c>
      <c r="BT882" t="str">
        <f>HYPERLINK("https%3A%2F%2Fwww.webofscience.com%2Fwos%2Fwoscc%2Ffull-record%2FWOS:000189380400004","View Full Record in Web of Science")</f>
        <v>View Full Record in Web of Science</v>
      </c>
    </row>
    <row r="883" spans="1:72" x14ac:dyDescent="0.15">
      <c r="A883" t="s">
        <v>72</v>
      </c>
      <c r="B883" t="s">
        <v>12591</v>
      </c>
      <c r="C883" t="s">
        <v>74</v>
      </c>
      <c r="D883" t="s">
        <v>74</v>
      </c>
      <c r="E883" t="s">
        <v>74</v>
      </c>
      <c r="F883" t="s">
        <v>12591</v>
      </c>
      <c r="G883" t="s">
        <v>74</v>
      </c>
      <c r="H883" t="s">
        <v>74</v>
      </c>
      <c r="I883" t="s">
        <v>12592</v>
      </c>
      <c r="J883" t="s">
        <v>2634</v>
      </c>
      <c r="K883" t="s">
        <v>74</v>
      </c>
      <c r="L883" t="s">
        <v>74</v>
      </c>
      <c r="M883" t="s">
        <v>77</v>
      </c>
      <c r="N883" t="s">
        <v>78</v>
      </c>
      <c r="O883" t="s">
        <v>74</v>
      </c>
      <c r="P883" t="s">
        <v>74</v>
      </c>
      <c r="Q883" t="s">
        <v>74</v>
      </c>
      <c r="R883" t="s">
        <v>74</v>
      </c>
      <c r="S883" t="s">
        <v>74</v>
      </c>
      <c r="T883" t="s">
        <v>74</v>
      </c>
      <c r="U883" t="s">
        <v>12593</v>
      </c>
      <c r="V883" t="s">
        <v>12594</v>
      </c>
      <c r="W883" t="s">
        <v>12595</v>
      </c>
      <c r="X883" t="s">
        <v>12596</v>
      </c>
      <c r="Y883" t="s">
        <v>12597</v>
      </c>
      <c r="Z883" t="s">
        <v>12598</v>
      </c>
      <c r="AA883" t="s">
        <v>74</v>
      </c>
      <c r="AB883" t="s">
        <v>74</v>
      </c>
      <c r="AC883" t="s">
        <v>74</v>
      </c>
      <c r="AD883" t="s">
        <v>74</v>
      </c>
      <c r="AE883" t="s">
        <v>74</v>
      </c>
      <c r="AF883" t="s">
        <v>74</v>
      </c>
      <c r="AG883">
        <v>26</v>
      </c>
      <c r="AH883">
        <v>31</v>
      </c>
      <c r="AI883">
        <v>34</v>
      </c>
      <c r="AJ883">
        <v>1</v>
      </c>
      <c r="AK883">
        <v>20</v>
      </c>
      <c r="AL883" t="s">
        <v>2642</v>
      </c>
      <c r="AM883" t="s">
        <v>2643</v>
      </c>
      <c r="AN883" t="s">
        <v>2644</v>
      </c>
      <c r="AO883" t="s">
        <v>2645</v>
      </c>
      <c r="AP883" t="s">
        <v>2646</v>
      </c>
      <c r="AQ883" t="s">
        <v>74</v>
      </c>
      <c r="AR883" t="s">
        <v>2647</v>
      </c>
      <c r="AS883" t="s">
        <v>2648</v>
      </c>
      <c r="AT883" t="s">
        <v>12530</v>
      </c>
      <c r="AU883">
        <v>2003</v>
      </c>
      <c r="AV883">
        <v>35</v>
      </c>
      <c r="AW883">
        <v>4</v>
      </c>
      <c r="AX883" t="s">
        <v>74</v>
      </c>
      <c r="AY883" t="s">
        <v>74</v>
      </c>
      <c r="AZ883" t="s">
        <v>74</v>
      </c>
      <c r="BA883" t="s">
        <v>74</v>
      </c>
      <c r="BB883">
        <v>442</v>
      </c>
      <c r="BC883">
        <v>446</v>
      </c>
      <c r="BD883" t="s">
        <v>74</v>
      </c>
      <c r="BE883" t="s">
        <v>12599</v>
      </c>
      <c r="BF883" t="str">
        <f>HYPERLINK("http://dx.doi.org/10.1657/1523-0430(2003)035[0442:IOTOTV]2.0.CO;2","http://dx.doi.org/10.1657/1523-0430(2003)035[0442:IOTOTV]2.0.CO;2")</f>
        <v>http://dx.doi.org/10.1657/1523-0430(2003)035[0442:IOTOTV]2.0.CO;2</v>
      </c>
      <c r="BG883" t="s">
        <v>74</v>
      </c>
      <c r="BH883" t="s">
        <v>74</v>
      </c>
      <c r="BI883">
        <v>5</v>
      </c>
      <c r="BJ883" t="s">
        <v>2650</v>
      </c>
      <c r="BK883" t="s">
        <v>96</v>
      </c>
      <c r="BL883" t="s">
        <v>2651</v>
      </c>
      <c r="BM883" t="s">
        <v>12557</v>
      </c>
      <c r="BN883" t="s">
        <v>74</v>
      </c>
      <c r="BO883" t="s">
        <v>156</v>
      </c>
      <c r="BP883" t="s">
        <v>74</v>
      </c>
      <c r="BQ883" t="s">
        <v>74</v>
      </c>
      <c r="BR883" t="s">
        <v>99</v>
      </c>
      <c r="BS883" t="s">
        <v>12600</v>
      </c>
      <c r="BT883" t="str">
        <f>HYPERLINK("https%3A%2F%2Fwww.webofscience.com%2Fwos%2Fwoscc%2Ffull-record%2FWOS:000189380400005","View Full Record in Web of Science")</f>
        <v>View Full Record in Web of Science</v>
      </c>
    </row>
    <row r="884" spans="1:72" x14ac:dyDescent="0.15">
      <c r="A884" t="s">
        <v>72</v>
      </c>
      <c r="B884" t="s">
        <v>12601</v>
      </c>
      <c r="C884" t="s">
        <v>74</v>
      </c>
      <c r="D884" t="s">
        <v>74</v>
      </c>
      <c r="E884" t="s">
        <v>74</v>
      </c>
      <c r="F884" t="s">
        <v>12601</v>
      </c>
      <c r="G884" t="s">
        <v>74</v>
      </c>
      <c r="H884" t="s">
        <v>74</v>
      </c>
      <c r="I884" t="s">
        <v>12602</v>
      </c>
      <c r="J884" t="s">
        <v>2634</v>
      </c>
      <c r="K884" t="s">
        <v>74</v>
      </c>
      <c r="L884" t="s">
        <v>74</v>
      </c>
      <c r="M884" t="s">
        <v>77</v>
      </c>
      <c r="N884" t="s">
        <v>78</v>
      </c>
      <c r="O884" t="s">
        <v>74</v>
      </c>
      <c r="P884" t="s">
        <v>74</v>
      </c>
      <c r="Q884" t="s">
        <v>74</v>
      </c>
      <c r="R884" t="s">
        <v>74</v>
      </c>
      <c r="S884" t="s">
        <v>74</v>
      </c>
      <c r="T884" t="s">
        <v>74</v>
      </c>
      <c r="U884" t="s">
        <v>12603</v>
      </c>
      <c r="V884" t="s">
        <v>12604</v>
      </c>
      <c r="W884" t="s">
        <v>12605</v>
      </c>
      <c r="X884" t="s">
        <v>12606</v>
      </c>
      <c r="Y884" t="s">
        <v>74</v>
      </c>
      <c r="Z884" t="s">
        <v>12607</v>
      </c>
      <c r="AA884" t="s">
        <v>74</v>
      </c>
      <c r="AB884" t="s">
        <v>74</v>
      </c>
      <c r="AC884" t="s">
        <v>74</v>
      </c>
      <c r="AD884" t="s">
        <v>74</v>
      </c>
      <c r="AE884" t="s">
        <v>74</v>
      </c>
      <c r="AF884" t="s">
        <v>74</v>
      </c>
      <c r="AG884">
        <v>62</v>
      </c>
      <c r="AH884">
        <v>40</v>
      </c>
      <c r="AI884">
        <v>45</v>
      </c>
      <c r="AJ884">
        <v>0</v>
      </c>
      <c r="AK884">
        <v>28</v>
      </c>
      <c r="AL884" t="s">
        <v>2683</v>
      </c>
      <c r="AM884" t="s">
        <v>1313</v>
      </c>
      <c r="AN884" t="s">
        <v>2684</v>
      </c>
      <c r="AO884" t="s">
        <v>2645</v>
      </c>
      <c r="AP884" t="s">
        <v>2646</v>
      </c>
      <c r="AQ884" t="s">
        <v>74</v>
      </c>
      <c r="AR884" t="s">
        <v>2647</v>
      </c>
      <c r="AS884" t="s">
        <v>2648</v>
      </c>
      <c r="AT884" t="s">
        <v>12530</v>
      </c>
      <c r="AU884">
        <v>2003</v>
      </c>
      <c r="AV884">
        <v>35</v>
      </c>
      <c r="AW884">
        <v>4</v>
      </c>
      <c r="AX884" t="s">
        <v>74</v>
      </c>
      <c r="AY884" t="s">
        <v>74</v>
      </c>
      <c r="AZ884" t="s">
        <v>74</v>
      </c>
      <c r="BA884" t="s">
        <v>74</v>
      </c>
      <c r="BB884">
        <v>447</v>
      </c>
      <c r="BC884">
        <v>453</v>
      </c>
      <c r="BD884" t="s">
        <v>74</v>
      </c>
      <c r="BE884" t="s">
        <v>12608</v>
      </c>
      <c r="BF884" t="str">
        <f>HYPERLINK("http://dx.doi.org/10.1657/1523-0430(2003)035[0447:EODPSD]2.0.CO;2","http://dx.doi.org/10.1657/1523-0430(2003)035[0447:EODPSD]2.0.CO;2")</f>
        <v>http://dx.doi.org/10.1657/1523-0430(2003)035[0447:EODPSD]2.0.CO;2</v>
      </c>
      <c r="BG884" t="s">
        <v>74</v>
      </c>
      <c r="BH884" t="s">
        <v>74</v>
      </c>
      <c r="BI884">
        <v>7</v>
      </c>
      <c r="BJ884" t="s">
        <v>2650</v>
      </c>
      <c r="BK884" t="s">
        <v>96</v>
      </c>
      <c r="BL884" t="s">
        <v>2651</v>
      </c>
      <c r="BM884" t="s">
        <v>12557</v>
      </c>
      <c r="BN884" t="s">
        <v>74</v>
      </c>
      <c r="BO884" t="s">
        <v>156</v>
      </c>
      <c r="BP884" t="s">
        <v>74</v>
      </c>
      <c r="BQ884" t="s">
        <v>74</v>
      </c>
      <c r="BR884" t="s">
        <v>99</v>
      </c>
      <c r="BS884" t="s">
        <v>12609</v>
      </c>
      <c r="BT884" t="str">
        <f>HYPERLINK("https%3A%2F%2Fwww.webofscience.com%2Fwos%2Fwoscc%2Ffull-record%2FWOS:000189380400006","View Full Record in Web of Science")</f>
        <v>View Full Record in Web of Science</v>
      </c>
    </row>
    <row r="885" spans="1:72" x14ac:dyDescent="0.15">
      <c r="A885" t="s">
        <v>72</v>
      </c>
      <c r="B885" t="s">
        <v>12610</v>
      </c>
      <c r="C885" t="s">
        <v>74</v>
      </c>
      <c r="D885" t="s">
        <v>74</v>
      </c>
      <c r="E885" t="s">
        <v>74</v>
      </c>
      <c r="F885" t="s">
        <v>12610</v>
      </c>
      <c r="G885" t="s">
        <v>74</v>
      </c>
      <c r="H885" t="s">
        <v>74</v>
      </c>
      <c r="I885" t="s">
        <v>12611</v>
      </c>
      <c r="J885" t="s">
        <v>2634</v>
      </c>
      <c r="K885" t="s">
        <v>74</v>
      </c>
      <c r="L885" t="s">
        <v>74</v>
      </c>
      <c r="M885" t="s">
        <v>77</v>
      </c>
      <c r="N885" t="s">
        <v>78</v>
      </c>
      <c r="O885" t="s">
        <v>74</v>
      </c>
      <c r="P885" t="s">
        <v>74</v>
      </c>
      <c r="Q885" t="s">
        <v>74</v>
      </c>
      <c r="R885" t="s">
        <v>74</v>
      </c>
      <c r="S885" t="s">
        <v>74</v>
      </c>
      <c r="T885" t="s">
        <v>74</v>
      </c>
      <c r="U885" t="s">
        <v>12612</v>
      </c>
      <c r="V885" t="s">
        <v>12613</v>
      </c>
      <c r="W885" t="s">
        <v>12614</v>
      </c>
      <c r="X885" t="s">
        <v>74</v>
      </c>
      <c r="Y885" t="s">
        <v>12615</v>
      </c>
      <c r="Z885" t="s">
        <v>12616</v>
      </c>
      <c r="AA885" t="s">
        <v>74</v>
      </c>
      <c r="AB885" t="s">
        <v>12617</v>
      </c>
      <c r="AC885" t="s">
        <v>74</v>
      </c>
      <c r="AD885" t="s">
        <v>74</v>
      </c>
      <c r="AE885" t="s">
        <v>74</v>
      </c>
      <c r="AF885" t="s">
        <v>74</v>
      </c>
      <c r="AG885">
        <v>58</v>
      </c>
      <c r="AH885">
        <v>8</v>
      </c>
      <c r="AI885">
        <v>8</v>
      </c>
      <c r="AJ885">
        <v>1</v>
      </c>
      <c r="AK885">
        <v>11</v>
      </c>
      <c r="AL885" t="s">
        <v>2683</v>
      </c>
      <c r="AM885" t="s">
        <v>1313</v>
      </c>
      <c r="AN885" t="s">
        <v>2684</v>
      </c>
      <c r="AO885" t="s">
        <v>2645</v>
      </c>
      <c r="AP885" t="s">
        <v>2646</v>
      </c>
      <c r="AQ885" t="s">
        <v>74</v>
      </c>
      <c r="AR885" t="s">
        <v>2647</v>
      </c>
      <c r="AS885" t="s">
        <v>2648</v>
      </c>
      <c r="AT885" t="s">
        <v>12530</v>
      </c>
      <c r="AU885">
        <v>2003</v>
      </c>
      <c r="AV885">
        <v>35</v>
      </c>
      <c r="AW885">
        <v>4</v>
      </c>
      <c r="AX885" t="s">
        <v>74</v>
      </c>
      <c r="AY885" t="s">
        <v>74</v>
      </c>
      <c r="AZ885" t="s">
        <v>74</v>
      </c>
      <c r="BA885" t="s">
        <v>74</v>
      </c>
      <c r="BB885">
        <v>454</v>
      </c>
      <c r="BC885">
        <v>459</v>
      </c>
      <c r="BD885" t="s">
        <v>74</v>
      </c>
      <c r="BE885" t="s">
        <v>12618</v>
      </c>
      <c r="BF885" t="str">
        <f>HYPERLINK("http://dx.doi.org/10.1657/1523-0430(2003)035[0454:EEOSSA]2.0.CO;2","http://dx.doi.org/10.1657/1523-0430(2003)035[0454:EEOSSA]2.0.CO;2")</f>
        <v>http://dx.doi.org/10.1657/1523-0430(2003)035[0454:EEOSSA]2.0.CO;2</v>
      </c>
      <c r="BG885" t="s">
        <v>74</v>
      </c>
      <c r="BH885" t="s">
        <v>74</v>
      </c>
      <c r="BI885">
        <v>6</v>
      </c>
      <c r="BJ885" t="s">
        <v>2650</v>
      </c>
      <c r="BK885" t="s">
        <v>96</v>
      </c>
      <c r="BL885" t="s">
        <v>2651</v>
      </c>
      <c r="BM885" t="s">
        <v>12557</v>
      </c>
      <c r="BN885" t="s">
        <v>74</v>
      </c>
      <c r="BO885" t="s">
        <v>156</v>
      </c>
      <c r="BP885" t="s">
        <v>74</v>
      </c>
      <c r="BQ885" t="s">
        <v>74</v>
      </c>
      <c r="BR885" t="s">
        <v>99</v>
      </c>
      <c r="BS885" t="s">
        <v>12619</v>
      </c>
      <c r="BT885" t="str">
        <f>HYPERLINK("https%3A%2F%2Fwww.webofscience.com%2Fwos%2Fwoscc%2Ffull-record%2FWOS:000189380400007","View Full Record in Web of Science")</f>
        <v>View Full Record in Web of Science</v>
      </c>
    </row>
    <row r="886" spans="1:72" x14ac:dyDescent="0.15">
      <c r="A886" t="s">
        <v>72</v>
      </c>
      <c r="B886" t="s">
        <v>12620</v>
      </c>
      <c r="C886" t="s">
        <v>74</v>
      </c>
      <c r="D886" t="s">
        <v>74</v>
      </c>
      <c r="E886" t="s">
        <v>74</v>
      </c>
      <c r="F886" t="s">
        <v>12620</v>
      </c>
      <c r="G886" t="s">
        <v>74</v>
      </c>
      <c r="H886" t="s">
        <v>74</v>
      </c>
      <c r="I886" t="s">
        <v>12621</v>
      </c>
      <c r="J886" t="s">
        <v>2634</v>
      </c>
      <c r="K886" t="s">
        <v>74</v>
      </c>
      <c r="L886" t="s">
        <v>74</v>
      </c>
      <c r="M886" t="s">
        <v>77</v>
      </c>
      <c r="N886" t="s">
        <v>78</v>
      </c>
      <c r="O886" t="s">
        <v>74</v>
      </c>
      <c r="P886" t="s">
        <v>74</v>
      </c>
      <c r="Q886" t="s">
        <v>74</v>
      </c>
      <c r="R886" t="s">
        <v>74</v>
      </c>
      <c r="S886" t="s">
        <v>74</v>
      </c>
      <c r="T886" t="s">
        <v>74</v>
      </c>
      <c r="U886" t="s">
        <v>12622</v>
      </c>
      <c r="V886" t="s">
        <v>12623</v>
      </c>
      <c r="W886" t="s">
        <v>12624</v>
      </c>
      <c r="X886" t="s">
        <v>12625</v>
      </c>
      <c r="Y886" t="s">
        <v>12626</v>
      </c>
      <c r="Z886" t="s">
        <v>12627</v>
      </c>
      <c r="AA886" t="s">
        <v>12628</v>
      </c>
      <c r="AB886" t="s">
        <v>12629</v>
      </c>
      <c r="AC886" t="s">
        <v>74</v>
      </c>
      <c r="AD886" t="s">
        <v>74</v>
      </c>
      <c r="AE886" t="s">
        <v>74</v>
      </c>
      <c r="AF886" t="s">
        <v>74</v>
      </c>
      <c r="AG886">
        <v>45</v>
      </c>
      <c r="AH886">
        <v>25</v>
      </c>
      <c r="AI886">
        <v>26</v>
      </c>
      <c r="AJ886">
        <v>0</v>
      </c>
      <c r="AK886">
        <v>11</v>
      </c>
      <c r="AL886" t="s">
        <v>2683</v>
      </c>
      <c r="AM886" t="s">
        <v>1313</v>
      </c>
      <c r="AN886" t="s">
        <v>2684</v>
      </c>
      <c r="AO886" t="s">
        <v>2645</v>
      </c>
      <c r="AP886" t="s">
        <v>74</v>
      </c>
      <c r="AQ886" t="s">
        <v>74</v>
      </c>
      <c r="AR886" t="s">
        <v>2647</v>
      </c>
      <c r="AS886" t="s">
        <v>2648</v>
      </c>
      <c r="AT886" t="s">
        <v>12530</v>
      </c>
      <c r="AU886">
        <v>2003</v>
      </c>
      <c r="AV886">
        <v>35</v>
      </c>
      <c r="AW886">
        <v>4</v>
      </c>
      <c r="AX886" t="s">
        <v>74</v>
      </c>
      <c r="AY886" t="s">
        <v>74</v>
      </c>
      <c r="AZ886" t="s">
        <v>74</v>
      </c>
      <c r="BA886" t="s">
        <v>74</v>
      </c>
      <c r="BB886">
        <v>460</v>
      </c>
      <c r="BC886">
        <v>468</v>
      </c>
      <c r="BD886" t="s">
        <v>74</v>
      </c>
      <c r="BE886" t="s">
        <v>12630</v>
      </c>
      <c r="BF886" t="str">
        <f>HYPERLINK("http://dx.doi.org/10.1657/1523-0430(2003)035[0460:IEOTBF]2.0.CO;2","http://dx.doi.org/10.1657/1523-0430(2003)035[0460:IEOTBF]2.0.CO;2")</f>
        <v>http://dx.doi.org/10.1657/1523-0430(2003)035[0460:IEOTBF]2.0.CO;2</v>
      </c>
      <c r="BG886" t="s">
        <v>74</v>
      </c>
      <c r="BH886" t="s">
        <v>74</v>
      </c>
      <c r="BI886">
        <v>9</v>
      </c>
      <c r="BJ886" t="s">
        <v>2650</v>
      </c>
      <c r="BK886" t="s">
        <v>96</v>
      </c>
      <c r="BL886" t="s">
        <v>2651</v>
      </c>
      <c r="BM886" t="s">
        <v>12557</v>
      </c>
      <c r="BN886" t="s">
        <v>74</v>
      </c>
      <c r="BO886" t="s">
        <v>156</v>
      </c>
      <c r="BP886" t="s">
        <v>74</v>
      </c>
      <c r="BQ886" t="s">
        <v>74</v>
      </c>
      <c r="BR886" t="s">
        <v>99</v>
      </c>
      <c r="BS886" t="s">
        <v>12631</v>
      </c>
      <c r="BT886" t="str">
        <f>HYPERLINK("https%3A%2F%2Fwww.webofscience.com%2Fwos%2Fwoscc%2Ffull-record%2FWOS:000189380400008","View Full Record in Web of Science")</f>
        <v>View Full Record in Web of Science</v>
      </c>
    </row>
    <row r="887" spans="1:72" x14ac:dyDescent="0.15">
      <c r="A887" t="s">
        <v>72</v>
      </c>
      <c r="B887" t="s">
        <v>12632</v>
      </c>
      <c r="C887" t="s">
        <v>74</v>
      </c>
      <c r="D887" t="s">
        <v>74</v>
      </c>
      <c r="E887" t="s">
        <v>74</v>
      </c>
      <c r="F887" t="s">
        <v>12632</v>
      </c>
      <c r="G887" t="s">
        <v>74</v>
      </c>
      <c r="H887" t="s">
        <v>74</v>
      </c>
      <c r="I887" t="s">
        <v>12633</v>
      </c>
      <c r="J887" t="s">
        <v>2634</v>
      </c>
      <c r="K887" t="s">
        <v>74</v>
      </c>
      <c r="L887" t="s">
        <v>74</v>
      </c>
      <c r="M887" t="s">
        <v>77</v>
      </c>
      <c r="N887" t="s">
        <v>78</v>
      </c>
      <c r="O887" t="s">
        <v>74</v>
      </c>
      <c r="P887" t="s">
        <v>74</v>
      </c>
      <c r="Q887" t="s">
        <v>74</v>
      </c>
      <c r="R887" t="s">
        <v>74</v>
      </c>
      <c r="S887" t="s">
        <v>74</v>
      </c>
      <c r="T887" t="s">
        <v>74</v>
      </c>
      <c r="U887" t="s">
        <v>12634</v>
      </c>
      <c r="V887" t="s">
        <v>12635</v>
      </c>
      <c r="W887" t="s">
        <v>12636</v>
      </c>
      <c r="X887" t="s">
        <v>12637</v>
      </c>
      <c r="Y887" t="s">
        <v>12638</v>
      </c>
      <c r="Z887" t="s">
        <v>12639</v>
      </c>
      <c r="AA887" t="s">
        <v>12640</v>
      </c>
      <c r="AB887" t="s">
        <v>12641</v>
      </c>
      <c r="AC887" t="s">
        <v>74</v>
      </c>
      <c r="AD887" t="s">
        <v>74</v>
      </c>
      <c r="AE887" t="s">
        <v>74</v>
      </c>
      <c r="AF887" t="s">
        <v>74</v>
      </c>
      <c r="AG887">
        <v>30</v>
      </c>
      <c r="AH887">
        <v>13</v>
      </c>
      <c r="AI887">
        <v>14</v>
      </c>
      <c r="AJ887">
        <v>1</v>
      </c>
      <c r="AK887">
        <v>5</v>
      </c>
      <c r="AL887" t="s">
        <v>2642</v>
      </c>
      <c r="AM887" t="s">
        <v>2643</v>
      </c>
      <c r="AN887" t="s">
        <v>2644</v>
      </c>
      <c r="AO887" t="s">
        <v>2645</v>
      </c>
      <c r="AP887" t="s">
        <v>2646</v>
      </c>
      <c r="AQ887" t="s">
        <v>74</v>
      </c>
      <c r="AR887" t="s">
        <v>2647</v>
      </c>
      <c r="AS887" t="s">
        <v>2648</v>
      </c>
      <c r="AT887" t="s">
        <v>12530</v>
      </c>
      <c r="AU887">
        <v>2003</v>
      </c>
      <c r="AV887">
        <v>35</v>
      </c>
      <c r="AW887">
        <v>4</v>
      </c>
      <c r="AX887" t="s">
        <v>74</v>
      </c>
      <c r="AY887" t="s">
        <v>74</v>
      </c>
      <c r="AZ887" t="s">
        <v>74</v>
      </c>
      <c r="BA887" t="s">
        <v>74</v>
      </c>
      <c r="BB887">
        <v>469</v>
      </c>
      <c r="BC887">
        <v>474</v>
      </c>
      <c r="BD887" t="s">
        <v>74</v>
      </c>
      <c r="BE887" t="s">
        <v>12642</v>
      </c>
      <c r="BF887" t="str">
        <f>HYPERLINK("http://dx.doi.org/10.1657/1523-0430(2003)035[0469:PDADOT]2.0.CO;2","http://dx.doi.org/10.1657/1523-0430(2003)035[0469:PDADOT]2.0.CO;2")</f>
        <v>http://dx.doi.org/10.1657/1523-0430(2003)035[0469:PDADOT]2.0.CO;2</v>
      </c>
      <c r="BG887" t="s">
        <v>74</v>
      </c>
      <c r="BH887" t="s">
        <v>74</v>
      </c>
      <c r="BI887">
        <v>6</v>
      </c>
      <c r="BJ887" t="s">
        <v>2650</v>
      </c>
      <c r="BK887" t="s">
        <v>96</v>
      </c>
      <c r="BL887" t="s">
        <v>2651</v>
      </c>
      <c r="BM887" t="s">
        <v>12557</v>
      </c>
      <c r="BN887" t="s">
        <v>74</v>
      </c>
      <c r="BO887" t="s">
        <v>156</v>
      </c>
      <c r="BP887" t="s">
        <v>74</v>
      </c>
      <c r="BQ887" t="s">
        <v>74</v>
      </c>
      <c r="BR887" t="s">
        <v>99</v>
      </c>
      <c r="BS887" t="s">
        <v>12643</v>
      </c>
      <c r="BT887" t="str">
        <f>HYPERLINK("https%3A%2F%2Fwww.webofscience.com%2Fwos%2Fwoscc%2Ffull-record%2FWOS:000189380400009","View Full Record in Web of Science")</f>
        <v>View Full Record in Web of Science</v>
      </c>
    </row>
    <row r="888" spans="1:72" x14ac:dyDescent="0.15">
      <c r="A888" t="s">
        <v>72</v>
      </c>
      <c r="B888" t="s">
        <v>12644</v>
      </c>
      <c r="C888" t="s">
        <v>74</v>
      </c>
      <c r="D888" t="s">
        <v>74</v>
      </c>
      <c r="E888" t="s">
        <v>74</v>
      </c>
      <c r="F888" t="s">
        <v>12644</v>
      </c>
      <c r="G888" t="s">
        <v>74</v>
      </c>
      <c r="H888" t="s">
        <v>74</v>
      </c>
      <c r="I888" t="s">
        <v>12645</v>
      </c>
      <c r="J888" t="s">
        <v>2634</v>
      </c>
      <c r="K888" t="s">
        <v>74</v>
      </c>
      <c r="L888" t="s">
        <v>74</v>
      </c>
      <c r="M888" t="s">
        <v>77</v>
      </c>
      <c r="N888" t="s">
        <v>78</v>
      </c>
      <c r="O888" t="s">
        <v>74</v>
      </c>
      <c r="P888" t="s">
        <v>74</v>
      </c>
      <c r="Q888" t="s">
        <v>74</v>
      </c>
      <c r="R888" t="s">
        <v>74</v>
      </c>
      <c r="S888" t="s">
        <v>74</v>
      </c>
      <c r="T888" t="s">
        <v>74</v>
      </c>
      <c r="U888" t="s">
        <v>12646</v>
      </c>
      <c r="V888" t="s">
        <v>12647</v>
      </c>
      <c r="W888" t="s">
        <v>12648</v>
      </c>
      <c r="X888" t="s">
        <v>12649</v>
      </c>
      <c r="Y888" t="s">
        <v>12650</v>
      </c>
      <c r="Z888" t="s">
        <v>12651</v>
      </c>
      <c r="AA888" t="s">
        <v>74</v>
      </c>
      <c r="AB888" t="s">
        <v>74</v>
      </c>
      <c r="AC888" t="s">
        <v>74</v>
      </c>
      <c r="AD888" t="s">
        <v>74</v>
      </c>
      <c r="AE888" t="s">
        <v>74</v>
      </c>
      <c r="AF888" t="s">
        <v>74</v>
      </c>
      <c r="AG888">
        <v>20</v>
      </c>
      <c r="AH888">
        <v>12</v>
      </c>
      <c r="AI888">
        <v>13</v>
      </c>
      <c r="AJ888">
        <v>1</v>
      </c>
      <c r="AK888">
        <v>8</v>
      </c>
      <c r="AL888" t="s">
        <v>2683</v>
      </c>
      <c r="AM888" t="s">
        <v>1313</v>
      </c>
      <c r="AN888" t="s">
        <v>2684</v>
      </c>
      <c r="AO888" t="s">
        <v>2645</v>
      </c>
      <c r="AP888" t="s">
        <v>74</v>
      </c>
      <c r="AQ888" t="s">
        <v>74</v>
      </c>
      <c r="AR888" t="s">
        <v>2647</v>
      </c>
      <c r="AS888" t="s">
        <v>2648</v>
      </c>
      <c r="AT888" t="s">
        <v>12530</v>
      </c>
      <c r="AU888">
        <v>2003</v>
      </c>
      <c r="AV888">
        <v>35</v>
      </c>
      <c r="AW888">
        <v>4</v>
      </c>
      <c r="AX888" t="s">
        <v>74</v>
      </c>
      <c r="AY888" t="s">
        <v>74</v>
      </c>
      <c r="AZ888" t="s">
        <v>74</v>
      </c>
      <c r="BA888" t="s">
        <v>74</v>
      </c>
      <c r="BB888">
        <v>475</v>
      </c>
      <c r="BC888">
        <v>481</v>
      </c>
      <c r="BD888" t="s">
        <v>74</v>
      </c>
      <c r="BE888" t="s">
        <v>12652</v>
      </c>
      <c r="BF888" t="str">
        <f>HYPERLINK("http://dx.doi.org/10.1657/1523-0430(2003)035[0475:TEBOCI]2.0.CO;2","http://dx.doi.org/10.1657/1523-0430(2003)035[0475:TEBOCI]2.0.CO;2")</f>
        <v>http://dx.doi.org/10.1657/1523-0430(2003)035[0475:TEBOCI]2.0.CO;2</v>
      </c>
      <c r="BG888" t="s">
        <v>74</v>
      </c>
      <c r="BH888" t="s">
        <v>74</v>
      </c>
      <c r="BI888">
        <v>7</v>
      </c>
      <c r="BJ888" t="s">
        <v>2650</v>
      </c>
      <c r="BK888" t="s">
        <v>96</v>
      </c>
      <c r="BL888" t="s">
        <v>2651</v>
      </c>
      <c r="BM888" t="s">
        <v>12557</v>
      </c>
      <c r="BN888" t="s">
        <v>74</v>
      </c>
      <c r="BO888" t="s">
        <v>156</v>
      </c>
      <c r="BP888" t="s">
        <v>74</v>
      </c>
      <c r="BQ888" t="s">
        <v>74</v>
      </c>
      <c r="BR888" t="s">
        <v>99</v>
      </c>
      <c r="BS888" t="s">
        <v>12653</v>
      </c>
      <c r="BT888" t="str">
        <f>HYPERLINK("https%3A%2F%2Fwww.webofscience.com%2Fwos%2Fwoscc%2Ffull-record%2FWOS:000189380400010","View Full Record in Web of Science")</f>
        <v>View Full Record in Web of Science</v>
      </c>
    </row>
    <row r="889" spans="1:72" x14ac:dyDescent="0.15">
      <c r="A889" t="s">
        <v>72</v>
      </c>
      <c r="B889" t="s">
        <v>12654</v>
      </c>
      <c r="C889" t="s">
        <v>74</v>
      </c>
      <c r="D889" t="s">
        <v>74</v>
      </c>
      <c r="E889" t="s">
        <v>74</v>
      </c>
      <c r="F889" t="s">
        <v>12654</v>
      </c>
      <c r="G889" t="s">
        <v>74</v>
      </c>
      <c r="H889" t="s">
        <v>74</v>
      </c>
      <c r="I889" t="s">
        <v>12655</v>
      </c>
      <c r="J889" t="s">
        <v>2634</v>
      </c>
      <c r="K889" t="s">
        <v>74</v>
      </c>
      <c r="L889" t="s">
        <v>74</v>
      </c>
      <c r="M889" t="s">
        <v>77</v>
      </c>
      <c r="N889" t="s">
        <v>78</v>
      </c>
      <c r="O889" t="s">
        <v>74</v>
      </c>
      <c r="P889" t="s">
        <v>74</v>
      </c>
      <c r="Q889" t="s">
        <v>74</v>
      </c>
      <c r="R889" t="s">
        <v>74</v>
      </c>
      <c r="S889" t="s">
        <v>74</v>
      </c>
      <c r="T889" t="s">
        <v>74</v>
      </c>
      <c r="U889" t="s">
        <v>74</v>
      </c>
      <c r="V889" t="s">
        <v>12656</v>
      </c>
      <c r="W889" t="s">
        <v>12657</v>
      </c>
      <c r="X889" t="s">
        <v>12658</v>
      </c>
      <c r="Y889" t="s">
        <v>12659</v>
      </c>
      <c r="Z889" t="s">
        <v>12660</v>
      </c>
      <c r="AA889" t="s">
        <v>74</v>
      </c>
      <c r="AB889" t="s">
        <v>74</v>
      </c>
      <c r="AC889" t="s">
        <v>74</v>
      </c>
      <c r="AD889" t="s">
        <v>74</v>
      </c>
      <c r="AE889" t="s">
        <v>74</v>
      </c>
      <c r="AF889" t="s">
        <v>74</v>
      </c>
      <c r="AG889">
        <v>24</v>
      </c>
      <c r="AH889">
        <v>18</v>
      </c>
      <c r="AI889">
        <v>20</v>
      </c>
      <c r="AJ889">
        <v>0</v>
      </c>
      <c r="AK889">
        <v>3</v>
      </c>
      <c r="AL889" t="s">
        <v>2683</v>
      </c>
      <c r="AM889" t="s">
        <v>1313</v>
      </c>
      <c r="AN889" t="s">
        <v>2684</v>
      </c>
      <c r="AO889" t="s">
        <v>2645</v>
      </c>
      <c r="AP889" t="s">
        <v>2646</v>
      </c>
      <c r="AQ889" t="s">
        <v>74</v>
      </c>
      <c r="AR889" t="s">
        <v>2647</v>
      </c>
      <c r="AS889" t="s">
        <v>2648</v>
      </c>
      <c r="AT889" t="s">
        <v>12530</v>
      </c>
      <c r="AU889">
        <v>2003</v>
      </c>
      <c r="AV889">
        <v>35</v>
      </c>
      <c r="AW889">
        <v>4</v>
      </c>
      <c r="AX889" t="s">
        <v>74</v>
      </c>
      <c r="AY889" t="s">
        <v>74</v>
      </c>
      <c r="AZ889" t="s">
        <v>74</v>
      </c>
      <c r="BA889" t="s">
        <v>74</v>
      </c>
      <c r="BB889">
        <v>482</v>
      </c>
      <c r="BC889">
        <v>488</v>
      </c>
      <c r="BD889" t="s">
        <v>74</v>
      </c>
      <c r="BE889" t="s">
        <v>74</v>
      </c>
      <c r="BF889" t="s">
        <v>74</v>
      </c>
      <c r="BG889" t="s">
        <v>74</v>
      </c>
      <c r="BH889" t="s">
        <v>74</v>
      </c>
      <c r="BI889">
        <v>7</v>
      </c>
      <c r="BJ889" t="s">
        <v>2650</v>
      </c>
      <c r="BK889" t="s">
        <v>96</v>
      </c>
      <c r="BL889" t="s">
        <v>2651</v>
      </c>
      <c r="BM889" t="s">
        <v>12557</v>
      </c>
      <c r="BN889" t="s">
        <v>74</v>
      </c>
      <c r="BO889" t="s">
        <v>74</v>
      </c>
      <c r="BP889" t="s">
        <v>74</v>
      </c>
      <c r="BQ889" t="s">
        <v>74</v>
      </c>
      <c r="BR889" t="s">
        <v>99</v>
      </c>
      <c r="BS889" t="s">
        <v>12661</v>
      </c>
      <c r="BT889" t="str">
        <f>HYPERLINK("https%3A%2F%2Fwww.webofscience.com%2Fwos%2Fwoscc%2Ffull-record%2FWOS:000189380400011","View Full Record in Web of Science")</f>
        <v>View Full Record in Web of Science</v>
      </c>
    </row>
    <row r="890" spans="1:72" x14ac:dyDescent="0.15">
      <c r="A890" t="s">
        <v>72</v>
      </c>
      <c r="B890" t="s">
        <v>12662</v>
      </c>
      <c r="C890" t="s">
        <v>74</v>
      </c>
      <c r="D890" t="s">
        <v>74</v>
      </c>
      <c r="E890" t="s">
        <v>74</v>
      </c>
      <c r="F890" t="s">
        <v>12662</v>
      </c>
      <c r="G890" t="s">
        <v>74</v>
      </c>
      <c r="H890" t="s">
        <v>74</v>
      </c>
      <c r="I890" t="s">
        <v>12663</v>
      </c>
      <c r="J890" t="s">
        <v>2634</v>
      </c>
      <c r="K890" t="s">
        <v>74</v>
      </c>
      <c r="L890" t="s">
        <v>74</v>
      </c>
      <c r="M890" t="s">
        <v>77</v>
      </c>
      <c r="N890" t="s">
        <v>78</v>
      </c>
      <c r="O890" t="s">
        <v>74</v>
      </c>
      <c r="P890" t="s">
        <v>74</v>
      </c>
      <c r="Q890" t="s">
        <v>74</v>
      </c>
      <c r="R890" t="s">
        <v>74</v>
      </c>
      <c r="S890" t="s">
        <v>74</v>
      </c>
      <c r="T890" t="s">
        <v>74</v>
      </c>
      <c r="U890" t="s">
        <v>12664</v>
      </c>
      <c r="V890" t="s">
        <v>12665</v>
      </c>
      <c r="W890" t="s">
        <v>12666</v>
      </c>
      <c r="X890" t="s">
        <v>74</v>
      </c>
      <c r="Y890" t="s">
        <v>12667</v>
      </c>
      <c r="Z890" t="s">
        <v>12668</v>
      </c>
      <c r="AA890" t="s">
        <v>74</v>
      </c>
      <c r="AB890" t="s">
        <v>74</v>
      </c>
      <c r="AC890" t="s">
        <v>74</v>
      </c>
      <c r="AD890" t="s">
        <v>74</v>
      </c>
      <c r="AE890" t="s">
        <v>74</v>
      </c>
      <c r="AF890" t="s">
        <v>74</v>
      </c>
      <c r="AG890">
        <v>57</v>
      </c>
      <c r="AH890">
        <v>32</v>
      </c>
      <c r="AI890">
        <v>38</v>
      </c>
      <c r="AJ890">
        <v>1</v>
      </c>
      <c r="AK890">
        <v>10</v>
      </c>
      <c r="AL890" t="s">
        <v>2683</v>
      </c>
      <c r="AM890" t="s">
        <v>1313</v>
      </c>
      <c r="AN890" t="s">
        <v>2684</v>
      </c>
      <c r="AO890" t="s">
        <v>2645</v>
      </c>
      <c r="AP890" t="s">
        <v>74</v>
      </c>
      <c r="AQ890" t="s">
        <v>74</v>
      </c>
      <c r="AR890" t="s">
        <v>2647</v>
      </c>
      <c r="AS890" t="s">
        <v>2648</v>
      </c>
      <c r="AT890" t="s">
        <v>12530</v>
      </c>
      <c r="AU890">
        <v>2003</v>
      </c>
      <c r="AV890">
        <v>35</v>
      </c>
      <c r="AW890">
        <v>4</v>
      </c>
      <c r="AX890" t="s">
        <v>74</v>
      </c>
      <c r="AY890" t="s">
        <v>74</v>
      </c>
      <c r="AZ890" t="s">
        <v>74</v>
      </c>
      <c r="BA890" t="s">
        <v>74</v>
      </c>
      <c r="BB890">
        <v>489</v>
      </c>
      <c r="BC890">
        <v>498</v>
      </c>
      <c r="BD890" t="s">
        <v>74</v>
      </c>
      <c r="BE890" t="s">
        <v>12669</v>
      </c>
      <c r="BF890" t="str">
        <f>HYPERLINK("http://dx.doi.org/10.1657/1523-0430(2003)035[0489:EOLIAC]2.0.CO;2","http://dx.doi.org/10.1657/1523-0430(2003)035[0489:EOLIAC]2.0.CO;2")</f>
        <v>http://dx.doi.org/10.1657/1523-0430(2003)035[0489:EOLIAC]2.0.CO;2</v>
      </c>
      <c r="BG890" t="s">
        <v>74</v>
      </c>
      <c r="BH890" t="s">
        <v>74</v>
      </c>
      <c r="BI890">
        <v>10</v>
      </c>
      <c r="BJ890" t="s">
        <v>2650</v>
      </c>
      <c r="BK890" t="s">
        <v>96</v>
      </c>
      <c r="BL890" t="s">
        <v>2651</v>
      </c>
      <c r="BM890" t="s">
        <v>12557</v>
      </c>
      <c r="BN890" t="s">
        <v>74</v>
      </c>
      <c r="BO890" t="s">
        <v>156</v>
      </c>
      <c r="BP890" t="s">
        <v>74</v>
      </c>
      <c r="BQ890" t="s">
        <v>74</v>
      </c>
      <c r="BR890" t="s">
        <v>99</v>
      </c>
      <c r="BS890" t="s">
        <v>12670</v>
      </c>
      <c r="BT890" t="str">
        <f>HYPERLINK("https%3A%2F%2Fwww.webofscience.com%2Fwos%2Fwoscc%2Ffull-record%2FWOS:000189380400012","View Full Record in Web of Science")</f>
        <v>View Full Record in Web of Science</v>
      </c>
    </row>
    <row r="891" spans="1:72" x14ac:dyDescent="0.15">
      <c r="A891" t="s">
        <v>72</v>
      </c>
      <c r="B891" t="s">
        <v>12671</v>
      </c>
      <c r="C891" t="s">
        <v>74</v>
      </c>
      <c r="D891" t="s">
        <v>74</v>
      </c>
      <c r="E891" t="s">
        <v>74</v>
      </c>
      <c r="F891" t="s">
        <v>12671</v>
      </c>
      <c r="G891" t="s">
        <v>74</v>
      </c>
      <c r="H891" t="s">
        <v>74</v>
      </c>
      <c r="I891" t="s">
        <v>12672</v>
      </c>
      <c r="J891" t="s">
        <v>2634</v>
      </c>
      <c r="K891" t="s">
        <v>74</v>
      </c>
      <c r="L891" t="s">
        <v>74</v>
      </c>
      <c r="M891" t="s">
        <v>77</v>
      </c>
      <c r="N891" t="s">
        <v>78</v>
      </c>
      <c r="O891" t="s">
        <v>74</v>
      </c>
      <c r="P891" t="s">
        <v>74</v>
      </c>
      <c r="Q891" t="s">
        <v>74</v>
      </c>
      <c r="R891" t="s">
        <v>74</v>
      </c>
      <c r="S891" t="s">
        <v>74</v>
      </c>
      <c r="T891" t="s">
        <v>74</v>
      </c>
      <c r="U891" t="s">
        <v>12673</v>
      </c>
      <c r="V891" t="s">
        <v>12674</v>
      </c>
      <c r="W891" t="s">
        <v>12675</v>
      </c>
      <c r="X891" t="s">
        <v>12676</v>
      </c>
      <c r="Y891" t="s">
        <v>12677</v>
      </c>
      <c r="Z891" t="s">
        <v>12678</v>
      </c>
      <c r="AA891" t="s">
        <v>74</v>
      </c>
      <c r="AB891" t="s">
        <v>74</v>
      </c>
      <c r="AC891" t="s">
        <v>74</v>
      </c>
      <c r="AD891" t="s">
        <v>74</v>
      </c>
      <c r="AE891" t="s">
        <v>74</v>
      </c>
      <c r="AF891" t="s">
        <v>74</v>
      </c>
      <c r="AG891">
        <v>47</v>
      </c>
      <c r="AH891">
        <v>27</v>
      </c>
      <c r="AI891">
        <v>36</v>
      </c>
      <c r="AJ891">
        <v>1</v>
      </c>
      <c r="AK891">
        <v>30</v>
      </c>
      <c r="AL891" t="s">
        <v>2642</v>
      </c>
      <c r="AM891" t="s">
        <v>2643</v>
      </c>
      <c r="AN891" t="s">
        <v>2644</v>
      </c>
      <c r="AO891" t="s">
        <v>2645</v>
      </c>
      <c r="AP891" t="s">
        <v>2646</v>
      </c>
      <c r="AQ891" t="s">
        <v>74</v>
      </c>
      <c r="AR891" t="s">
        <v>2647</v>
      </c>
      <c r="AS891" t="s">
        <v>2648</v>
      </c>
      <c r="AT891" t="s">
        <v>12530</v>
      </c>
      <c r="AU891">
        <v>2003</v>
      </c>
      <c r="AV891">
        <v>35</v>
      </c>
      <c r="AW891">
        <v>4</v>
      </c>
      <c r="AX891" t="s">
        <v>74</v>
      </c>
      <c r="AY891" t="s">
        <v>74</v>
      </c>
      <c r="AZ891" t="s">
        <v>74</v>
      </c>
      <c r="BA891" t="s">
        <v>74</v>
      </c>
      <c r="BB891">
        <v>499</v>
      </c>
      <c r="BC891">
        <v>508</v>
      </c>
      <c r="BD891" t="s">
        <v>74</v>
      </c>
      <c r="BE891" t="s">
        <v>74</v>
      </c>
      <c r="BF891" t="s">
        <v>74</v>
      </c>
      <c r="BG891" t="s">
        <v>74</v>
      </c>
      <c r="BH891" t="s">
        <v>74</v>
      </c>
      <c r="BI891">
        <v>10</v>
      </c>
      <c r="BJ891" t="s">
        <v>2650</v>
      </c>
      <c r="BK891" t="s">
        <v>96</v>
      </c>
      <c r="BL891" t="s">
        <v>2651</v>
      </c>
      <c r="BM891" t="s">
        <v>12557</v>
      </c>
      <c r="BN891" t="s">
        <v>74</v>
      </c>
      <c r="BO891" t="s">
        <v>74</v>
      </c>
      <c r="BP891" t="s">
        <v>74</v>
      </c>
      <c r="BQ891" t="s">
        <v>74</v>
      </c>
      <c r="BR891" t="s">
        <v>99</v>
      </c>
      <c r="BS891" t="s">
        <v>12679</v>
      </c>
      <c r="BT891" t="str">
        <f>HYPERLINK("https%3A%2F%2Fwww.webofscience.com%2Fwos%2Fwoscc%2Ffull-record%2FWOS:000189380400013","View Full Record in Web of Science")</f>
        <v>View Full Record in Web of Science</v>
      </c>
    </row>
    <row r="892" spans="1:72" x14ac:dyDescent="0.15">
      <c r="A892" t="s">
        <v>72</v>
      </c>
      <c r="B892" t="s">
        <v>12680</v>
      </c>
      <c r="C892" t="s">
        <v>74</v>
      </c>
      <c r="D892" t="s">
        <v>74</v>
      </c>
      <c r="E892" t="s">
        <v>74</v>
      </c>
      <c r="F892" t="s">
        <v>12680</v>
      </c>
      <c r="G892" t="s">
        <v>74</v>
      </c>
      <c r="H892" t="s">
        <v>74</v>
      </c>
      <c r="I892" t="s">
        <v>12681</v>
      </c>
      <c r="J892" t="s">
        <v>2634</v>
      </c>
      <c r="K892" t="s">
        <v>74</v>
      </c>
      <c r="L892" t="s">
        <v>74</v>
      </c>
      <c r="M892" t="s">
        <v>77</v>
      </c>
      <c r="N892" t="s">
        <v>78</v>
      </c>
      <c r="O892" t="s">
        <v>74</v>
      </c>
      <c r="P892" t="s">
        <v>74</v>
      </c>
      <c r="Q892" t="s">
        <v>74</v>
      </c>
      <c r="R892" t="s">
        <v>74</v>
      </c>
      <c r="S892" t="s">
        <v>74</v>
      </c>
      <c r="T892" t="s">
        <v>74</v>
      </c>
      <c r="U892" t="s">
        <v>12682</v>
      </c>
      <c r="V892" t="s">
        <v>12683</v>
      </c>
      <c r="W892" t="s">
        <v>12684</v>
      </c>
      <c r="X892" t="s">
        <v>12685</v>
      </c>
      <c r="Y892" t="s">
        <v>12686</v>
      </c>
      <c r="Z892" t="s">
        <v>12687</v>
      </c>
      <c r="AA892" t="s">
        <v>74</v>
      </c>
      <c r="AB892" t="s">
        <v>74</v>
      </c>
      <c r="AC892" t="s">
        <v>74</v>
      </c>
      <c r="AD892" t="s">
        <v>74</v>
      </c>
      <c r="AE892" t="s">
        <v>74</v>
      </c>
      <c r="AF892" t="s">
        <v>74</v>
      </c>
      <c r="AG892">
        <v>48</v>
      </c>
      <c r="AH892">
        <v>38</v>
      </c>
      <c r="AI892">
        <v>50</v>
      </c>
      <c r="AJ892">
        <v>0</v>
      </c>
      <c r="AK892">
        <v>13</v>
      </c>
      <c r="AL892" t="s">
        <v>2683</v>
      </c>
      <c r="AM892" t="s">
        <v>1313</v>
      </c>
      <c r="AN892" t="s">
        <v>2684</v>
      </c>
      <c r="AO892" t="s">
        <v>2645</v>
      </c>
      <c r="AP892" t="s">
        <v>2646</v>
      </c>
      <c r="AQ892" t="s">
        <v>74</v>
      </c>
      <c r="AR892" t="s">
        <v>2647</v>
      </c>
      <c r="AS892" t="s">
        <v>2648</v>
      </c>
      <c r="AT892" t="s">
        <v>12530</v>
      </c>
      <c r="AU892">
        <v>2003</v>
      </c>
      <c r="AV892">
        <v>35</v>
      </c>
      <c r="AW892">
        <v>4</v>
      </c>
      <c r="AX892" t="s">
        <v>74</v>
      </c>
      <c r="AY892" t="s">
        <v>74</v>
      </c>
      <c r="AZ892" t="s">
        <v>74</v>
      </c>
      <c r="BA892" t="s">
        <v>74</v>
      </c>
      <c r="BB892">
        <v>509</v>
      </c>
      <c r="BC892">
        <v>519</v>
      </c>
      <c r="BD892" t="s">
        <v>74</v>
      </c>
      <c r="BE892" t="s">
        <v>12688</v>
      </c>
      <c r="BF892" t="str">
        <f>HYPERLINK("http://dx.doi.org/10.1657/1523-0430(2003)035[0509:LCOLAP]2.0.CO;2","http://dx.doi.org/10.1657/1523-0430(2003)035[0509:LCOLAP]2.0.CO;2")</f>
        <v>http://dx.doi.org/10.1657/1523-0430(2003)035[0509:LCOLAP]2.0.CO;2</v>
      </c>
      <c r="BG892" t="s">
        <v>74</v>
      </c>
      <c r="BH892" t="s">
        <v>74</v>
      </c>
      <c r="BI892">
        <v>11</v>
      </c>
      <c r="BJ892" t="s">
        <v>2650</v>
      </c>
      <c r="BK892" t="s">
        <v>96</v>
      </c>
      <c r="BL892" t="s">
        <v>2651</v>
      </c>
      <c r="BM892" t="s">
        <v>12557</v>
      </c>
      <c r="BN892" t="s">
        <v>74</v>
      </c>
      <c r="BO892" t="s">
        <v>156</v>
      </c>
      <c r="BP892" t="s">
        <v>74</v>
      </c>
      <c r="BQ892" t="s">
        <v>74</v>
      </c>
      <c r="BR892" t="s">
        <v>99</v>
      </c>
      <c r="BS892" t="s">
        <v>12689</v>
      </c>
      <c r="BT892" t="str">
        <f>HYPERLINK("https%3A%2F%2Fwww.webofscience.com%2Fwos%2Fwoscc%2Ffull-record%2FWOS:000189380400014","View Full Record in Web of Science")</f>
        <v>View Full Record in Web of Science</v>
      </c>
    </row>
    <row r="893" spans="1:72" x14ac:dyDescent="0.15">
      <c r="A893" t="s">
        <v>72</v>
      </c>
      <c r="B893" t="s">
        <v>12690</v>
      </c>
      <c r="C893" t="s">
        <v>74</v>
      </c>
      <c r="D893" t="s">
        <v>74</v>
      </c>
      <c r="E893" t="s">
        <v>74</v>
      </c>
      <c r="F893" t="s">
        <v>12690</v>
      </c>
      <c r="G893" t="s">
        <v>74</v>
      </c>
      <c r="H893" t="s">
        <v>74</v>
      </c>
      <c r="I893" t="s">
        <v>12691</v>
      </c>
      <c r="J893" t="s">
        <v>2634</v>
      </c>
      <c r="K893" t="s">
        <v>74</v>
      </c>
      <c r="L893" t="s">
        <v>74</v>
      </c>
      <c r="M893" t="s">
        <v>77</v>
      </c>
      <c r="N893" t="s">
        <v>78</v>
      </c>
      <c r="O893" t="s">
        <v>74</v>
      </c>
      <c r="P893" t="s">
        <v>74</v>
      </c>
      <c r="Q893" t="s">
        <v>74</v>
      </c>
      <c r="R893" t="s">
        <v>74</v>
      </c>
      <c r="S893" t="s">
        <v>74</v>
      </c>
      <c r="T893" t="s">
        <v>74</v>
      </c>
      <c r="U893" t="s">
        <v>12692</v>
      </c>
      <c r="V893" t="s">
        <v>12693</v>
      </c>
      <c r="W893" t="s">
        <v>12694</v>
      </c>
      <c r="X893" t="s">
        <v>12695</v>
      </c>
      <c r="Y893" t="s">
        <v>12696</v>
      </c>
      <c r="Z893" t="s">
        <v>12697</v>
      </c>
      <c r="AA893" t="s">
        <v>74</v>
      </c>
      <c r="AB893" t="s">
        <v>74</v>
      </c>
      <c r="AC893" t="s">
        <v>74</v>
      </c>
      <c r="AD893" t="s">
        <v>74</v>
      </c>
      <c r="AE893" t="s">
        <v>74</v>
      </c>
      <c r="AF893" t="s">
        <v>74</v>
      </c>
      <c r="AG893">
        <v>58</v>
      </c>
      <c r="AH893">
        <v>10</v>
      </c>
      <c r="AI893">
        <v>15</v>
      </c>
      <c r="AJ893">
        <v>0</v>
      </c>
      <c r="AK893">
        <v>11</v>
      </c>
      <c r="AL893" t="s">
        <v>2683</v>
      </c>
      <c r="AM893" t="s">
        <v>1313</v>
      </c>
      <c r="AN893" t="s">
        <v>2684</v>
      </c>
      <c r="AO893" t="s">
        <v>2645</v>
      </c>
      <c r="AP893" t="s">
        <v>74</v>
      </c>
      <c r="AQ893" t="s">
        <v>74</v>
      </c>
      <c r="AR893" t="s">
        <v>2647</v>
      </c>
      <c r="AS893" t="s">
        <v>2648</v>
      </c>
      <c r="AT893" t="s">
        <v>12530</v>
      </c>
      <c r="AU893">
        <v>2003</v>
      </c>
      <c r="AV893">
        <v>35</v>
      </c>
      <c r="AW893">
        <v>4</v>
      </c>
      <c r="AX893" t="s">
        <v>74</v>
      </c>
      <c r="AY893" t="s">
        <v>74</v>
      </c>
      <c r="AZ893" t="s">
        <v>74</v>
      </c>
      <c r="BA893" t="s">
        <v>74</v>
      </c>
      <c r="BB893">
        <v>520</v>
      </c>
      <c r="BC893">
        <v>529</v>
      </c>
      <c r="BD893" t="s">
        <v>74</v>
      </c>
      <c r="BE893" t="s">
        <v>12698</v>
      </c>
      <c r="BF893" t="str">
        <f>HYPERLINK("http://dx.doi.org/10.1657/1523-0430(2003)035[0520:ROHCCU]2.0.CO;2","http://dx.doi.org/10.1657/1523-0430(2003)035[0520:ROHCCU]2.0.CO;2")</f>
        <v>http://dx.doi.org/10.1657/1523-0430(2003)035[0520:ROHCCU]2.0.CO;2</v>
      </c>
      <c r="BG893" t="s">
        <v>74</v>
      </c>
      <c r="BH893" t="s">
        <v>74</v>
      </c>
      <c r="BI893">
        <v>10</v>
      </c>
      <c r="BJ893" t="s">
        <v>2650</v>
      </c>
      <c r="BK893" t="s">
        <v>96</v>
      </c>
      <c r="BL893" t="s">
        <v>2651</v>
      </c>
      <c r="BM893" t="s">
        <v>12557</v>
      </c>
      <c r="BN893" t="s">
        <v>74</v>
      </c>
      <c r="BO893" t="s">
        <v>156</v>
      </c>
      <c r="BP893" t="s">
        <v>74</v>
      </c>
      <c r="BQ893" t="s">
        <v>74</v>
      </c>
      <c r="BR893" t="s">
        <v>99</v>
      </c>
      <c r="BS893" t="s">
        <v>12699</v>
      </c>
      <c r="BT893" t="str">
        <f>HYPERLINK("https%3A%2F%2Fwww.webofscience.com%2Fwos%2Fwoscc%2Ffull-record%2FWOS:000189380400015","View Full Record in Web of Science")</f>
        <v>View Full Record in Web of Science</v>
      </c>
    </row>
    <row r="894" spans="1:72" x14ac:dyDescent="0.15">
      <c r="A894" t="s">
        <v>72</v>
      </c>
      <c r="B894" t="s">
        <v>12700</v>
      </c>
      <c r="C894" t="s">
        <v>74</v>
      </c>
      <c r="D894" t="s">
        <v>74</v>
      </c>
      <c r="E894" t="s">
        <v>74</v>
      </c>
      <c r="F894" t="s">
        <v>12700</v>
      </c>
      <c r="G894" t="s">
        <v>74</v>
      </c>
      <c r="H894" t="s">
        <v>74</v>
      </c>
      <c r="I894" t="s">
        <v>12701</v>
      </c>
      <c r="J894" t="s">
        <v>2634</v>
      </c>
      <c r="K894" t="s">
        <v>74</v>
      </c>
      <c r="L894" t="s">
        <v>74</v>
      </c>
      <c r="M894" t="s">
        <v>77</v>
      </c>
      <c r="N894" t="s">
        <v>78</v>
      </c>
      <c r="O894" t="s">
        <v>74</v>
      </c>
      <c r="P894" t="s">
        <v>74</v>
      </c>
      <c r="Q894" t="s">
        <v>74</v>
      </c>
      <c r="R894" t="s">
        <v>74</v>
      </c>
      <c r="S894" t="s">
        <v>74</v>
      </c>
      <c r="T894" t="s">
        <v>74</v>
      </c>
      <c r="U894" t="s">
        <v>12702</v>
      </c>
      <c r="V894" t="s">
        <v>12703</v>
      </c>
      <c r="W894" t="s">
        <v>12704</v>
      </c>
      <c r="X894" t="s">
        <v>12705</v>
      </c>
      <c r="Y894" t="s">
        <v>12706</v>
      </c>
      <c r="Z894" t="s">
        <v>12707</v>
      </c>
      <c r="AA894" t="s">
        <v>74</v>
      </c>
      <c r="AB894" t="s">
        <v>74</v>
      </c>
      <c r="AC894" t="s">
        <v>74</v>
      </c>
      <c r="AD894" t="s">
        <v>74</v>
      </c>
      <c r="AE894" t="s">
        <v>74</v>
      </c>
      <c r="AF894" t="s">
        <v>74</v>
      </c>
      <c r="AG894">
        <v>35</v>
      </c>
      <c r="AH894">
        <v>12</v>
      </c>
      <c r="AI894">
        <v>14</v>
      </c>
      <c r="AJ894">
        <v>1</v>
      </c>
      <c r="AK894">
        <v>12</v>
      </c>
      <c r="AL894" t="s">
        <v>2683</v>
      </c>
      <c r="AM894" t="s">
        <v>1313</v>
      </c>
      <c r="AN894" t="s">
        <v>2684</v>
      </c>
      <c r="AO894" t="s">
        <v>2645</v>
      </c>
      <c r="AP894" t="s">
        <v>74</v>
      </c>
      <c r="AQ894" t="s">
        <v>74</v>
      </c>
      <c r="AR894" t="s">
        <v>2647</v>
      </c>
      <c r="AS894" t="s">
        <v>2648</v>
      </c>
      <c r="AT894" t="s">
        <v>12530</v>
      </c>
      <c r="AU894">
        <v>2003</v>
      </c>
      <c r="AV894">
        <v>35</v>
      </c>
      <c r="AW894">
        <v>4</v>
      </c>
      <c r="AX894" t="s">
        <v>74</v>
      </c>
      <c r="AY894" t="s">
        <v>74</v>
      </c>
      <c r="AZ894" t="s">
        <v>74</v>
      </c>
      <c r="BA894" t="s">
        <v>74</v>
      </c>
      <c r="BB894">
        <v>530</v>
      </c>
      <c r="BC894">
        <v>537</v>
      </c>
      <c r="BD894" t="s">
        <v>74</v>
      </c>
      <c r="BE894" t="s">
        <v>12708</v>
      </c>
      <c r="BF894" t="str">
        <f>HYPERLINK("http://dx.doi.org/10.1657/1523-0430(2003)035[0530:WATCOT]2.0.CO;2","http://dx.doi.org/10.1657/1523-0430(2003)035[0530:WATCOT]2.0.CO;2")</f>
        <v>http://dx.doi.org/10.1657/1523-0430(2003)035[0530:WATCOT]2.0.CO;2</v>
      </c>
      <c r="BG894" t="s">
        <v>74</v>
      </c>
      <c r="BH894" t="s">
        <v>74</v>
      </c>
      <c r="BI894">
        <v>8</v>
      </c>
      <c r="BJ894" t="s">
        <v>2650</v>
      </c>
      <c r="BK894" t="s">
        <v>96</v>
      </c>
      <c r="BL894" t="s">
        <v>2651</v>
      </c>
      <c r="BM894" t="s">
        <v>12557</v>
      </c>
      <c r="BN894" t="s">
        <v>74</v>
      </c>
      <c r="BO894" t="s">
        <v>516</v>
      </c>
      <c r="BP894" t="s">
        <v>74</v>
      </c>
      <c r="BQ894" t="s">
        <v>74</v>
      </c>
      <c r="BR894" t="s">
        <v>99</v>
      </c>
      <c r="BS894" t="s">
        <v>12709</v>
      </c>
      <c r="BT894" t="str">
        <f>HYPERLINK("https%3A%2F%2Fwww.webofscience.com%2Fwos%2Fwoscc%2Ffull-record%2FWOS:000189380400016","View Full Record in Web of Science")</f>
        <v>View Full Record in Web of Science</v>
      </c>
    </row>
    <row r="895" spans="1:72" x14ac:dyDescent="0.15">
      <c r="A895" t="s">
        <v>72</v>
      </c>
      <c r="B895" t="s">
        <v>12710</v>
      </c>
      <c r="C895" t="s">
        <v>74</v>
      </c>
      <c r="D895" t="s">
        <v>74</v>
      </c>
      <c r="E895" t="s">
        <v>74</v>
      </c>
      <c r="F895" t="s">
        <v>12710</v>
      </c>
      <c r="G895" t="s">
        <v>74</v>
      </c>
      <c r="H895" t="s">
        <v>74</v>
      </c>
      <c r="I895" t="s">
        <v>12711</v>
      </c>
      <c r="J895" t="s">
        <v>2634</v>
      </c>
      <c r="K895" t="s">
        <v>74</v>
      </c>
      <c r="L895" t="s">
        <v>74</v>
      </c>
      <c r="M895" t="s">
        <v>77</v>
      </c>
      <c r="N895" t="s">
        <v>521</v>
      </c>
      <c r="O895" t="s">
        <v>74</v>
      </c>
      <c r="P895" t="s">
        <v>74</v>
      </c>
      <c r="Q895" t="s">
        <v>74</v>
      </c>
      <c r="R895" t="s">
        <v>74</v>
      </c>
      <c r="S895" t="s">
        <v>74</v>
      </c>
      <c r="T895" t="s">
        <v>74</v>
      </c>
      <c r="U895" t="s">
        <v>74</v>
      </c>
      <c r="V895" t="s">
        <v>74</v>
      </c>
      <c r="W895" t="s">
        <v>74</v>
      </c>
      <c r="X895" t="s">
        <v>74</v>
      </c>
      <c r="Y895" t="s">
        <v>74</v>
      </c>
      <c r="Z895" t="s">
        <v>74</v>
      </c>
      <c r="AA895" t="s">
        <v>74</v>
      </c>
      <c r="AB895" t="s">
        <v>74</v>
      </c>
      <c r="AC895" t="s">
        <v>74</v>
      </c>
      <c r="AD895" t="s">
        <v>74</v>
      </c>
      <c r="AE895" t="s">
        <v>74</v>
      </c>
      <c r="AF895" t="s">
        <v>74</v>
      </c>
      <c r="AG895">
        <v>1</v>
      </c>
      <c r="AH895">
        <v>1</v>
      </c>
      <c r="AI895">
        <v>1</v>
      </c>
      <c r="AJ895">
        <v>0</v>
      </c>
      <c r="AK895">
        <v>17</v>
      </c>
      <c r="AL895" t="s">
        <v>2642</v>
      </c>
      <c r="AM895" t="s">
        <v>2643</v>
      </c>
      <c r="AN895" t="s">
        <v>2644</v>
      </c>
      <c r="AO895" t="s">
        <v>2645</v>
      </c>
      <c r="AP895" t="s">
        <v>2646</v>
      </c>
      <c r="AQ895" t="s">
        <v>74</v>
      </c>
      <c r="AR895" t="s">
        <v>2647</v>
      </c>
      <c r="AS895" t="s">
        <v>2648</v>
      </c>
      <c r="AT895" t="s">
        <v>12530</v>
      </c>
      <c r="AU895">
        <v>2003</v>
      </c>
      <c r="AV895">
        <v>35</v>
      </c>
      <c r="AW895">
        <v>4</v>
      </c>
      <c r="AX895" t="s">
        <v>74</v>
      </c>
      <c r="AY895" t="s">
        <v>74</v>
      </c>
      <c r="AZ895" t="s">
        <v>74</v>
      </c>
      <c r="BA895" t="s">
        <v>74</v>
      </c>
      <c r="BB895">
        <v>538</v>
      </c>
      <c r="BC895">
        <v>538</v>
      </c>
      <c r="BD895" t="s">
        <v>74</v>
      </c>
      <c r="BE895" t="s">
        <v>74</v>
      </c>
      <c r="BF895" t="s">
        <v>74</v>
      </c>
      <c r="BG895" t="s">
        <v>74</v>
      </c>
      <c r="BH895" t="s">
        <v>74</v>
      </c>
      <c r="BI895">
        <v>1</v>
      </c>
      <c r="BJ895" t="s">
        <v>2650</v>
      </c>
      <c r="BK895" t="s">
        <v>96</v>
      </c>
      <c r="BL895" t="s">
        <v>2651</v>
      </c>
      <c r="BM895" t="s">
        <v>12557</v>
      </c>
      <c r="BN895" t="s">
        <v>74</v>
      </c>
      <c r="BO895" t="s">
        <v>74</v>
      </c>
      <c r="BP895" t="s">
        <v>74</v>
      </c>
      <c r="BQ895" t="s">
        <v>74</v>
      </c>
      <c r="BR895" t="s">
        <v>99</v>
      </c>
      <c r="BS895" t="s">
        <v>12712</v>
      </c>
      <c r="BT895" t="str">
        <f>HYPERLINK("https%3A%2F%2Fwww.webofscience.com%2Fwos%2Fwoscc%2Ffull-record%2FWOS:000189380400017","View Full Record in Web of Science")</f>
        <v>View Full Record in Web of Science</v>
      </c>
    </row>
    <row r="896" spans="1:72" x14ac:dyDescent="0.15">
      <c r="A896" t="s">
        <v>72</v>
      </c>
      <c r="B896" t="s">
        <v>12713</v>
      </c>
      <c r="C896" t="s">
        <v>74</v>
      </c>
      <c r="D896" t="s">
        <v>74</v>
      </c>
      <c r="E896" t="s">
        <v>74</v>
      </c>
      <c r="F896" t="s">
        <v>12713</v>
      </c>
      <c r="G896" t="s">
        <v>74</v>
      </c>
      <c r="H896" t="s">
        <v>74</v>
      </c>
      <c r="I896" t="s">
        <v>12714</v>
      </c>
      <c r="J896" t="s">
        <v>2634</v>
      </c>
      <c r="K896" t="s">
        <v>74</v>
      </c>
      <c r="L896" t="s">
        <v>74</v>
      </c>
      <c r="M896" t="s">
        <v>77</v>
      </c>
      <c r="N896" t="s">
        <v>521</v>
      </c>
      <c r="O896" t="s">
        <v>74</v>
      </c>
      <c r="P896" t="s">
        <v>74</v>
      </c>
      <c r="Q896" t="s">
        <v>74</v>
      </c>
      <c r="R896" t="s">
        <v>74</v>
      </c>
      <c r="S896" t="s">
        <v>74</v>
      </c>
      <c r="T896" t="s">
        <v>74</v>
      </c>
      <c r="U896" t="s">
        <v>74</v>
      </c>
      <c r="V896" t="s">
        <v>74</v>
      </c>
      <c r="W896" t="s">
        <v>74</v>
      </c>
      <c r="X896" t="s">
        <v>74</v>
      </c>
      <c r="Y896" t="s">
        <v>74</v>
      </c>
      <c r="Z896" t="s">
        <v>74</v>
      </c>
      <c r="AA896" t="s">
        <v>12715</v>
      </c>
      <c r="AB896" t="s">
        <v>12716</v>
      </c>
      <c r="AC896" t="s">
        <v>74</v>
      </c>
      <c r="AD896" t="s">
        <v>74</v>
      </c>
      <c r="AE896" t="s">
        <v>74</v>
      </c>
      <c r="AF896" t="s">
        <v>74</v>
      </c>
      <c r="AG896">
        <v>1</v>
      </c>
      <c r="AH896">
        <v>0</v>
      </c>
      <c r="AI896">
        <v>0</v>
      </c>
      <c r="AJ896">
        <v>0</v>
      </c>
      <c r="AK896">
        <v>5</v>
      </c>
      <c r="AL896" t="s">
        <v>2642</v>
      </c>
      <c r="AM896" t="s">
        <v>2643</v>
      </c>
      <c r="AN896" t="s">
        <v>2644</v>
      </c>
      <c r="AO896" t="s">
        <v>2645</v>
      </c>
      <c r="AP896" t="s">
        <v>2646</v>
      </c>
      <c r="AQ896" t="s">
        <v>74</v>
      </c>
      <c r="AR896" t="s">
        <v>2647</v>
      </c>
      <c r="AS896" t="s">
        <v>2648</v>
      </c>
      <c r="AT896" t="s">
        <v>12530</v>
      </c>
      <c r="AU896">
        <v>2003</v>
      </c>
      <c r="AV896">
        <v>35</v>
      </c>
      <c r="AW896">
        <v>4</v>
      </c>
      <c r="AX896" t="s">
        <v>74</v>
      </c>
      <c r="AY896" t="s">
        <v>74</v>
      </c>
      <c r="AZ896" t="s">
        <v>74</v>
      </c>
      <c r="BA896" t="s">
        <v>74</v>
      </c>
      <c r="BB896">
        <v>539</v>
      </c>
      <c r="BC896">
        <v>539</v>
      </c>
      <c r="BD896" t="s">
        <v>74</v>
      </c>
      <c r="BE896" t="s">
        <v>74</v>
      </c>
      <c r="BF896" t="s">
        <v>74</v>
      </c>
      <c r="BG896" t="s">
        <v>74</v>
      </c>
      <c r="BH896" t="s">
        <v>74</v>
      </c>
      <c r="BI896">
        <v>1</v>
      </c>
      <c r="BJ896" t="s">
        <v>2650</v>
      </c>
      <c r="BK896" t="s">
        <v>96</v>
      </c>
      <c r="BL896" t="s">
        <v>2651</v>
      </c>
      <c r="BM896" t="s">
        <v>12557</v>
      </c>
      <c r="BN896" t="s">
        <v>74</v>
      </c>
      <c r="BO896" t="s">
        <v>74</v>
      </c>
      <c r="BP896" t="s">
        <v>74</v>
      </c>
      <c r="BQ896" t="s">
        <v>74</v>
      </c>
      <c r="BR896" t="s">
        <v>99</v>
      </c>
      <c r="BS896" t="s">
        <v>12717</v>
      </c>
      <c r="BT896" t="str">
        <f>HYPERLINK("https%3A%2F%2Fwww.webofscience.com%2Fwos%2Fwoscc%2Ffull-record%2FWOS:000189380400018","View Full Record in Web of Science")</f>
        <v>View Full Record in Web of Science</v>
      </c>
    </row>
    <row r="897" spans="1:72" x14ac:dyDescent="0.15">
      <c r="A897" t="s">
        <v>72</v>
      </c>
      <c r="B897" t="s">
        <v>12718</v>
      </c>
      <c r="C897" t="s">
        <v>74</v>
      </c>
      <c r="D897" t="s">
        <v>74</v>
      </c>
      <c r="E897" t="s">
        <v>74</v>
      </c>
      <c r="F897" t="s">
        <v>12718</v>
      </c>
      <c r="G897" t="s">
        <v>74</v>
      </c>
      <c r="H897" t="s">
        <v>74</v>
      </c>
      <c r="I897" t="s">
        <v>12719</v>
      </c>
      <c r="J897" t="s">
        <v>12720</v>
      </c>
      <c r="K897" t="s">
        <v>74</v>
      </c>
      <c r="L897" t="s">
        <v>74</v>
      </c>
      <c r="M897" t="s">
        <v>338</v>
      </c>
      <c r="N897" t="s">
        <v>78</v>
      </c>
      <c r="O897" t="s">
        <v>74</v>
      </c>
      <c r="P897" t="s">
        <v>74</v>
      </c>
      <c r="Q897" t="s">
        <v>74</v>
      </c>
      <c r="R897" t="s">
        <v>74</v>
      </c>
      <c r="S897" t="s">
        <v>74</v>
      </c>
      <c r="T897" t="s">
        <v>12721</v>
      </c>
      <c r="U897" t="s">
        <v>12722</v>
      </c>
      <c r="V897" t="s">
        <v>12723</v>
      </c>
      <c r="W897" t="s">
        <v>12724</v>
      </c>
      <c r="X897" t="s">
        <v>12725</v>
      </c>
      <c r="Y897" t="s">
        <v>12726</v>
      </c>
      <c r="Z897" t="s">
        <v>12727</v>
      </c>
      <c r="AA897" t="s">
        <v>12728</v>
      </c>
      <c r="AB897" t="s">
        <v>12729</v>
      </c>
      <c r="AC897" t="s">
        <v>74</v>
      </c>
      <c r="AD897" t="s">
        <v>74</v>
      </c>
      <c r="AE897" t="s">
        <v>74</v>
      </c>
      <c r="AF897" t="s">
        <v>74</v>
      </c>
      <c r="AG897">
        <v>11</v>
      </c>
      <c r="AH897">
        <v>3</v>
      </c>
      <c r="AI897">
        <v>5</v>
      </c>
      <c r="AJ897">
        <v>0</v>
      </c>
      <c r="AK897">
        <v>2</v>
      </c>
      <c r="AL897" t="s">
        <v>12730</v>
      </c>
      <c r="AM897" t="s">
        <v>347</v>
      </c>
      <c r="AN897" t="s">
        <v>12731</v>
      </c>
      <c r="AO897" t="s">
        <v>12732</v>
      </c>
      <c r="AP897" t="s">
        <v>12733</v>
      </c>
      <c r="AQ897" t="s">
        <v>74</v>
      </c>
      <c r="AR897" t="s">
        <v>12734</v>
      </c>
      <c r="AS897" t="s">
        <v>12735</v>
      </c>
      <c r="AT897" t="s">
        <v>12736</v>
      </c>
      <c r="AU897">
        <v>2003</v>
      </c>
      <c r="AV897">
        <v>48</v>
      </c>
      <c r="AW897">
        <v>6</v>
      </c>
      <c r="AX897" t="s">
        <v>74</v>
      </c>
      <c r="AY897" t="s">
        <v>74</v>
      </c>
      <c r="AZ897" t="s">
        <v>74</v>
      </c>
      <c r="BA897" t="s">
        <v>74</v>
      </c>
      <c r="BB897">
        <v>1123</v>
      </c>
      <c r="BC897">
        <v>1131</v>
      </c>
      <c r="BD897" t="s">
        <v>74</v>
      </c>
      <c r="BE897" t="s">
        <v>74</v>
      </c>
      <c r="BF897" t="s">
        <v>74</v>
      </c>
      <c r="BG897" t="s">
        <v>74</v>
      </c>
      <c r="BH897" t="s">
        <v>74</v>
      </c>
      <c r="BI897">
        <v>9</v>
      </c>
      <c r="BJ897" t="s">
        <v>12737</v>
      </c>
      <c r="BK897" t="s">
        <v>96</v>
      </c>
      <c r="BL897" t="s">
        <v>12737</v>
      </c>
      <c r="BM897" t="s">
        <v>12738</v>
      </c>
      <c r="BN897">
        <v>14714529</v>
      </c>
      <c r="BO897" t="s">
        <v>74</v>
      </c>
      <c r="BP897" t="s">
        <v>74</v>
      </c>
      <c r="BQ897" t="s">
        <v>74</v>
      </c>
      <c r="BR897" t="s">
        <v>99</v>
      </c>
      <c r="BS897" t="s">
        <v>12739</v>
      </c>
      <c r="BT897" t="str">
        <f>HYPERLINK("https%3A%2F%2Fwww.webofscience.com%2Fwos%2Fwoscc%2Ffull-record%2FWOS:000187679300018","View Full Record in Web of Science")</f>
        <v>View Full Record in Web of Science</v>
      </c>
    </row>
    <row r="898" spans="1:72" x14ac:dyDescent="0.15">
      <c r="A898" t="s">
        <v>72</v>
      </c>
      <c r="B898" t="s">
        <v>12740</v>
      </c>
      <c r="C898" t="s">
        <v>74</v>
      </c>
      <c r="D898" t="s">
        <v>74</v>
      </c>
      <c r="E898" t="s">
        <v>74</v>
      </c>
      <c r="F898" t="s">
        <v>12740</v>
      </c>
      <c r="G898" t="s">
        <v>74</v>
      </c>
      <c r="H898" t="s">
        <v>74</v>
      </c>
      <c r="I898" t="s">
        <v>12741</v>
      </c>
      <c r="J898" t="s">
        <v>12742</v>
      </c>
      <c r="K898" t="s">
        <v>74</v>
      </c>
      <c r="L898" t="s">
        <v>74</v>
      </c>
      <c r="M898" t="s">
        <v>77</v>
      </c>
      <c r="N898" t="s">
        <v>78</v>
      </c>
      <c r="O898" t="s">
        <v>74</v>
      </c>
      <c r="P898" t="s">
        <v>74</v>
      </c>
      <c r="Q898" t="s">
        <v>74</v>
      </c>
      <c r="R898" t="s">
        <v>74</v>
      </c>
      <c r="S898" t="s">
        <v>74</v>
      </c>
      <c r="T898" t="s">
        <v>12743</v>
      </c>
      <c r="U898" t="s">
        <v>12744</v>
      </c>
      <c r="V898" t="s">
        <v>12745</v>
      </c>
      <c r="W898" t="s">
        <v>12746</v>
      </c>
      <c r="X898" t="s">
        <v>1760</v>
      </c>
      <c r="Y898" t="s">
        <v>12747</v>
      </c>
      <c r="Z898" t="s">
        <v>2838</v>
      </c>
      <c r="AA898" t="s">
        <v>12748</v>
      </c>
      <c r="AB898" t="s">
        <v>12749</v>
      </c>
      <c r="AC898" t="s">
        <v>74</v>
      </c>
      <c r="AD898" t="s">
        <v>74</v>
      </c>
      <c r="AE898" t="s">
        <v>74</v>
      </c>
      <c r="AF898" t="s">
        <v>74</v>
      </c>
      <c r="AG898">
        <v>65</v>
      </c>
      <c r="AH898">
        <v>26</v>
      </c>
      <c r="AI898">
        <v>26</v>
      </c>
      <c r="AJ898">
        <v>1</v>
      </c>
      <c r="AK898">
        <v>28</v>
      </c>
      <c r="AL898" t="s">
        <v>2105</v>
      </c>
      <c r="AM898" t="s">
        <v>214</v>
      </c>
      <c r="AN898" t="s">
        <v>2106</v>
      </c>
      <c r="AO898" t="s">
        <v>12750</v>
      </c>
      <c r="AP898" t="s">
        <v>12751</v>
      </c>
      <c r="AQ898" t="s">
        <v>74</v>
      </c>
      <c r="AR898" t="s">
        <v>12752</v>
      </c>
      <c r="AS898" t="s">
        <v>12753</v>
      </c>
      <c r="AT898" t="s">
        <v>12530</v>
      </c>
      <c r="AU898">
        <v>2003</v>
      </c>
      <c r="AV898">
        <v>114</v>
      </c>
      <c r="AW898">
        <v>1</v>
      </c>
      <c r="AX898" t="s">
        <v>74</v>
      </c>
      <c r="AY898" t="s">
        <v>74</v>
      </c>
      <c r="AZ898" t="s">
        <v>74</v>
      </c>
      <c r="BA898" t="s">
        <v>74</v>
      </c>
      <c r="BB898">
        <v>67</v>
      </c>
      <c r="BC898">
        <v>78</v>
      </c>
      <c r="BD898" t="s">
        <v>74</v>
      </c>
      <c r="BE898" t="s">
        <v>12754</v>
      </c>
      <c r="BF898" t="str">
        <f>HYPERLINK("http://dx.doi.org/10.1016/S0006-3207(02)00421-4","http://dx.doi.org/10.1016/S0006-3207(02)00421-4")</f>
        <v>http://dx.doi.org/10.1016/S0006-3207(02)00421-4</v>
      </c>
      <c r="BG898" t="s">
        <v>74</v>
      </c>
      <c r="BH898" t="s">
        <v>74</v>
      </c>
      <c r="BI898">
        <v>12</v>
      </c>
      <c r="BJ898" t="s">
        <v>11496</v>
      </c>
      <c r="BK898" t="s">
        <v>96</v>
      </c>
      <c r="BL898" t="s">
        <v>97</v>
      </c>
      <c r="BM898" t="s">
        <v>12755</v>
      </c>
      <c r="BN898" t="s">
        <v>74</v>
      </c>
      <c r="BO898" t="s">
        <v>74</v>
      </c>
      <c r="BP898" t="s">
        <v>74</v>
      </c>
      <c r="BQ898" t="s">
        <v>74</v>
      </c>
      <c r="BR898" t="s">
        <v>99</v>
      </c>
      <c r="BS898" t="s">
        <v>12756</v>
      </c>
      <c r="BT898" t="str">
        <f>HYPERLINK("https%3A%2F%2Fwww.webofscience.com%2Fwos%2Fwoscc%2Ffull-record%2FWOS:000184978000006","View Full Record in Web of Science")</f>
        <v>View Full Record in Web of Science</v>
      </c>
    </row>
    <row r="899" spans="1:72" x14ac:dyDescent="0.15">
      <c r="A899" t="s">
        <v>72</v>
      </c>
      <c r="B899" t="s">
        <v>12757</v>
      </c>
      <c r="C899" t="s">
        <v>74</v>
      </c>
      <c r="D899" t="s">
        <v>74</v>
      </c>
      <c r="E899" t="s">
        <v>74</v>
      </c>
      <c r="F899" t="s">
        <v>12757</v>
      </c>
      <c r="G899" t="s">
        <v>74</v>
      </c>
      <c r="H899" t="s">
        <v>74</v>
      </c>
      <c r="I899" t="s">
        <v>12758</v>
      </c>
      <c r="J899" t="s">
        <v>1122</v>
      </c>
      <c r="K899" t="s">
        <v>74</v>
      </c>
      <c r="L899" t="s">
        <v>74</v>
      </c>
      <c r="M899" t="s">
        <v>77</v>
      </c>
      <c r="N899" t="s">
        <v>78</v>
      </c>
      <c r="O899" t="s">
        <v>74</v>
      </c>
      <c r="P899" t="s">
        <v>74</v>
      </c>
      <c r="Q899" t="s">
        <v>74</v>
      </c>
      <c r="R899" t="s">
        <v>74</v>
      </c>
      <c r="S899" t="s">
        <v>74</v>
      </c>
      <c r="T899" t="s">
        <v>74</v>
      </c>
      <c r="U899" t="s">
        <v>12759</v>
      </c>
      <c r="V899" t="s">
        <v>12760</v>
      </c>
      <c r="W899" t="s">
        <v>12761</v>
      </c>
      <c r="X899" t="s">
        <v>12762</v>
      </c>
      <c r="Y899" t="s">
        <v>12763</v>
      </c>
      <c r="Z899" t="s">
        <v>12764</v>
      </c>
      <c r="AA899" t="s">
        <v>3040</v>
      </c>
      <c r="AB899" t="s">
        <v>8027</v>
      </c>
      <c r="AC899" t="s">
        <v>74</v>
      </c>
      <c r="AD899" t="s">
        <v>74</v>
      </c>
      <c r="AE899" t="s">
        <v>74</v>
      </c>
      <c r="AF899" t="s">
        <v>74</v>
      </c>
      <c r="AG899">
        <v>22</v>
      </c>
      <c r="AH899">
        <v>112</v>
      </c>
      <c r="AI899">
        <v>121</v>
      </c>
      <c r="AJ899">
        <v>1</v>
      </c>
      <c r="AK899">
        <v>10</v>
      </c>
      <c r="AL899" t="s">
        <v>297</v>
      </c>
      <c r="AM899" t="s">
        <v>298</v>
      </c>
      <c r="AN899" t="s">
        <v>299</v>
      </c>
      <c r="AO899" t="s">
        <v>1131</v>
      </c>
      <c r="AP899" t="s">
        <v>1132</v>
      </c>
      <c r="AQ899" t="s">
        <v>74</v>
      </c>
      <c r="AR899" t="s">
        <v>1133</v>
      </c>
      <c r="AS899" t="s">
        <v>1134</v>
      </c>
      <c r="AT899" t="s">
        <v>12530</v>
      </c>
      <c r="AU899">
        <v>2003</v>
      </c>
      <c r="AV899">
        <v>84</v>
      </c>
      <c r="AW899">
        <v>11</v>
      </c>
      <c r="AX899" t="s">
        <v>74</v>
      </c>
      <c r="AY899" t="s">
        <v>74</v>
      </c>
      <c r="AZ899" t="s">
        <v>74</v>
      </c>
      <c r="BA899" t="s">
        <v>74</v>
      </c>
      <c r="BB899">
        <v>1533</v>
      </c>
      <c r="BC899">
        <v>1545</v>
      </c>
      <c r="BD899" t="s">
        <v>74</v>
      </c>
      <c r="BE899" t="s">
        <v>12765</v>
      </c>
      <c r="BF899" t="str">
        <f>HYPERLINK("http://dx.doi.org/10.1175/BAMS-84-11-1533","http://dx.doi.org/10.1175/BAMS-84-11-1533")</f>
        <v>http://dx.doi.org/10.1175/BAMS-84-11-1533</v>
      </c>
      <c r="BG899" t="s">
        <v>74</v>
      </c>
      <c r="BH899" t="s">
        <v>74</v>
      </c>
      <c r="BI899">
        <v>13</v>
      </c>
      <c r="BJ899" t="s">
        <v>186</v>
      </c>
      <c r="BK899" t="s">
        <v>96</v>
      </c>
      <c r="BL899" t="s">
        <v>186</v>
      </c>
      <c r="BM899" t="s">
        <v>12766</v>
      </c>
      <c r="BN899" t="s">
        <v>74</v>
      </c>
      <c r="BO899" t="s">
        <v>541</v>
      </c>
      <c r="BP899" t="s">
        <v>74</v>
      </c>
      <c r="BQ899" t="s">
        <v>74</v>
      </c>
      <c r="BR899" t="s">
        <v>99</v>
      </c>
      <c r="BS899" t="s">
        <v>12767</v>
      </c>
      <c r="BT899" t="str">
        <f>HYPERLINK("https%3A%2F%2Fwww.webofscience.com%2Fwos%2Fwoscc%2Ffull-record%2FWOS:000187163900018","View Full Record in Web of Science")</f>
        <v>View Full Record in Web of Science</v>
      </c>
    </row>
    <row r="900" spans="1:72" x14ac:dyDescent="0.15">
      <c r="A900" t="s">
        <v>72</v>
      </c>
      <c r="B900" t="s">
        <v>12768</v>
      </c>
      <c r="C900" t="s">
        <v>74</v>
      </c>
      <c r="D900" t="s">
        <v>74</v>
      </c>
      <c r="E900" t="s">
        <v>74</v>
      </c>
      <c r="F900" t="s">
        <v>12768</v>
      </c>
      <c r="G900" t="s">
        <v>74</v>
      </c>
      <c r="H900" t="s">
        <v>74</v>
      </c>
      <c r="I900" t="s">
        <v>12769</v>
      </c>
      <c r="J900" t="s">
        <v>12770</v>
      </c>
      <c r="K900" t="s">
        <v>74</v>
      </c>
      <c r="L900" t="s">
        <v>74</v>
      </c>
      <c r="M900" t="s">
        <v>77</v>
      </c>
      <c r="N900" t="s">
        <v>78</v>
      </c>
      <c r="O900" t="s">
        <v>74</v>
      </c>
      <c r="P900" t="s">
        <v>74</v>
      </c>
      <c r="Q900" t="s">
        <v>74</v>
      </c>
      <c r="R900" t="s">
        <v>74</v>
      </c>
      <c r="S900" t="s">
        <v>74</v>
      </c>
      <c r="T900" t="s">
        <v>74</v>
      </c>
      <c r="U900" t="s">
        <v>12771</v>
      </c>
      <c r="V900" t="s">
        <v>12772</v>
      </c>
      <c r="W900" t="s">
        <v>12773</v>
      </c>
      <c r="X900" t="s">
        <v>12774</v>
      </c>
      <c r="Y900" t="s">
        <v>12775</v>
      </c>
      <c r="Z900" t="s">
        <v>12776</v>
      </c>
      <c r="AA900" t="s">
        <v>12777</v>
      </c>
      <c r="AB900" t="s">
        <v>12778</v>
      </c>
      <c r="AC900" t="s">
        <v>74</v>
      </c>
      <c r="AD900" t="s">
        <v>74</v>
      </c>
      <c r="AE900" t="s">
        <v>74</v>
      </c>
      <c r="AF900" t="s">
        <v>74</v>
      </c>
      <c r="AG900">
        <v>49</v>
      </c>
      <c r="AH900">
        <v>30</v>
      </c>
      <c r="AI900">
        <v>33</v>
      </c>
      <c r="AJ900">
        <v>1</v>
      </c>
      <c r="AK900">
        <v>19</v>
      </c>
      <c r="AL900" t="s">
        <v>2859</v>
      </c>
      <c r="AM900" t="s">
        <v>2860</v>
      </c>
      <c r="AN900" t="s">
        <v>2861</v>
      </c>
      <c r="AO900" t="s">
        <v>12779</v>
      </c>
      <c r="AP900" t="s">
        <v>12780</v>
      </c>
      <c r="AQ900" t="s">
        <v>74</v>
      </c>
      <c r="AR900" t="s">
        <v>12781</v>
      </c>
      <c r="AS900" t="s">
        <v>12782</v>
      </c>
      <c r="AT900" t="s">
        <v>12530</v>
      </c>
      <c r="AU900">
        <v>2003</v>
      </c>
      <c r="AV900">
        <v>81</v>
      </c>
      <c r="AW900">
        <v>11</v>
      </c>
      <c r="AX900" t="s">
        <v>74</v>
      </c>
      <c r="AY900" t="s">
        <v>74</v>
      </c>
      <c r="AZ900" t="s">
        <v>74</v>
      </c>
      <c r="BA900" t="s">
        <v>74</v>
      </c>
      <c r="BB900">
        <v>1799</v>
      </c>
      <c r="BC900">
        <v>1807</v>
      </c>
      <c r="BD900" t="s">
        <v>74</v>
      </c>
      <c r="BE900" t="s">
        <v>12783</v>
      </c>
      <c r="BF900" t="str">
        <f>HYPERLINK("http://dx.doi.org/10.1139/Z03-179","http://dx.doi.org/10.1139/Z03-179")</f>
        <v>http://dx.doi.org/10.1139/Z03-179</v>
      </c>
      <c r="BG900" t="s">
        <v>74</v>
      </c>
      <c r="BH900" t="s">
        <v>74</v>
      </c>
      <c r="BI900">
        <v>9</v>
      </c>
      <c r="BJ900" t="s">
        <v>331</v>
      </c>
      <c r="BK900" t="s">
        <v>96</v>
      </c>
      <c r="BL900" t="s">
        <v>331</v>
      </c>
      <c r="BM900" t="s">
        <v>12784</v>
      </c>
      <c r="BN900" t="s">
        <v>74</v>
      </c>
      <c r="BO900" t="s">
        <v>74</v>
      </c>
      <c r="BP900" t="s">
        <v>74</v>
      </c>
      <c r="BQ900" t="s">
        <v>74</v>
      </c>
      <c r="BR900" t="s">
        <v>99</v>
      </c>
      <c r="BS900" t="s">
        <v>12785</v>
      </c>
      <c r="BT900" t="str">
        <f>HYPERLINK("https%3A%2F%2Fwww.webofscience.com%2Fwos%2Fwoscc%2Ffull-record%2FWOS:000188730300003","View Full Record in Web of Science")</f>
        <v>View Full Record in Web of Science</v>
      </c>
    </row>
    <row r="901" spans="1:72" x14ac:dyDescent="0.15">
      <c r="A901" t="s">
        <v>72</v>
      </c>
      <c r="B901" t="s">
        <v>12786</v>
      </c>
      <c r="C901" t="s">
        <v>74</v>
      </c>
      <c r="D901" t="s">
        <v>74</v>
      </c>
      <c r="E901" t="s">
        <v>74</v>
      </c>
      <c r="F901" t="s">
        <v>12786</v>
      </c>
      <c r="G901" t="s">
        <v>74</v>
      </c>
      <c r="H901" t="s">
        <v>74</v>
      </c>
      <c r="I901" t="s">
        <v>12787</v>
      </c>
      <c r="J901" t="s">
        <v>1142</v>
      </c>
      <c r="K901" t="s">
        <v>74</v>
      </c>
      <c r="L901" t="s">
        <v>74</v>
      </c>
      <c r="M901" t="s">
        <v>77</v>
      </c>
      <c r="N901" t="s">
        <v>78</v>
      </c>
      <c r="O901" t="s">
        <v>74</v>
      </c>
      <c r="P901" t="s">
        <v>74</v>
      </c>
      <c r="Q901" t="s">
        <v>74</v>
      </c>
      <c r="R901" t="s">
        <v>74</v>
      </c>
      <c r="S901" t="s">
        <v>74</v>
      </c>
      <c r="T901" t="s">
        <v>12788</v>
      </c>
      <c r="U901" t="s">
        <v>12789</v>
      </c>
      <c r="V901" t="s">
        <v>12790</v>
      </c>
      <c r="W901" t="s">
        <v>1965</v>
      </c>
      <c r="X901" t="s">
        <v>1966</v>
      </c>
      <c r="Y901" t="s">
        <v>12791</v>
      </c>
      <c r="Z901" t="s">
        <v>12792</v>
      </c>
      <c r="AA901" t="s">
        <v>74</v>
      </c>
      <c r="AB901" t="s">
        <v>74</v>
      </c>
      <c r="AC901" t="s">
        <v>74</v>
      </c>
      <c r="AD901" t="s">
        <v>74</v>
      </c>
      <c r="AE901" t="s">
        <v>74</v>
      </c>
      <c r="AF901" t="s">
        <v>74</v>
      </c>
      <c r="AG901">
        <v>56</v>
      </c>
      <c r="AH901">
        <v>104</v>
      </c>
      <c r="AI901">
        <v>119</v>
      </c>
      <c r="AJ901">
        <v>4</v>
      </c>
      <c r="AK901">
        <v>90</v>
      </c>
      <c r="AL901" t="s">
        <v>213</v>
      </c>
      <c r="AM901" t="s">
        <v>214</v>
      </c>
      <c r="AN901" t="s">
        <v>215</v>
      </c>
      <c r="AO901" t="s">
        <v>1151</v>
      </c>
      <c r="AP901" t="s">
        <v>12793</v>
      </c>
      <c r="AQ901" t="s">
        <v>74</v>
      </c>
      <c r="AR901" t="s">
        <v>1142</v>
      </c>
      <c r="AS901" t="s">
        <v>1152</v>
      </c>
      <c r="AT901" t="s">
        <v>12530</v>
      </c>
      <c r="AU901">
        <v>2003</v>
      </c>
      <c r="AV901">
        <v>53</v>
      </c>
      <c r="AW901">
        <v>6</v>
      </c>
      <c r="AX901" t="s">
        <v>74</v>
      </c>
      <c r="AY901" t="s">
        <v>74</v>
      </c>
      <c r="AZ901" t="s">
        <v>74</v>
      </c>
      <c r="BA901" t="s">
        <v>74</v>
      </c>
      <c r="BB901">
        <v>667</v>
      </c>
      <c r="BC901">
        <v>678</v>
      </c>
      <c r="BD901" t="s">
        <v>74</v>
      </c>
      <c r="BE901" t="s">
        <v>12794</v>
      </c>
      <c r="BF901" t="str">
        <f>HYPERLINK("http://dx.doi.org/10.1016/S0045-6535(03)00551-4","http://dx.doi.org/10.1016/S0045-6535(03)00551-4")</f>
        <v>http://dx.doi.org/10.1016/S0045-6535(03)00551-4</v>
      </c>
      <c r="BG901" t="s">
        <v>74</v>
      </c>
      <c r="BH901" t="s">
        <v>74</v>
      </c>
      <c r="BI901">
        <v>12</v>
      </c>
      <c r="BJ901" t="s">
        <v>1154</v>
      </c>
      <c r="BK901" t="s">
        <v>96</v>
      </c>
      <c r="BL901" t="s">
        <v>144</v>
      </c>
      <c r="BM901" t="s">
        <v>12795</v>
      </c>
      <c r="BN901">
        <v>12962716</v>
      </c>
      <c r="BO901" t="s">
        <v>74</v>
      </c>
      <c r="BP901" t="s">
        <v>74</v>
      </c>
      <c r="BQ901" t="s">
        <v>74</v>
      </c>
      <c r="BR901" t="s">
        <v>99</v>
      </c>
      <c r="BS901" t="s">
        <v>12796</v>
      </c>
      <c r="BT901" t="str">
        <f>HYPERLINK("https%3A%2F%2Fwww.webofscience.com%2Fwos%2Fwoscc%2Ffull-record%2FWOS:000185528000009","View Full Record in Web of Science")</f>
        <v>View Full Record in Web of Science</v>
      </c>
    </row>
    <row r="902" spans="1:72" x14ac:dyDescent="0.15">
      <c r="A902" t="s">
        <v>72</v>
      </c>
      <c r="B902" t="s">
        <v>12797</v>
      </c>
      <c r="C902" t="s">
        <v>74</v>
      </c>
      <c r="D902" t="s">
        <v>74</v>
      </c>
      <c r="E902" t="s">
        <v>74</v>
      </c>
      <c r="F902" t="s">
        <v>12797</v>
      </c>
      <c r="G902" t="s">
        <v>74</v>
      </c>
      <c r="H902" t="s">
        <v>74</v>
      </c>
      <c r="I902" t="s">
        <v>12798</v>
      </c>
      <c r="J902" t="s">
        <v>12799</v>
      </c>
      <c r="K902" t="s">
        <v>74</v>
      </c>
      <c r="L902" t="s">
        <v>74</v>
      </c>
      <c r="M902" t="s">
        <v>77</v>
      </c>
      <c r="N902" t="s">
        <v>3308</v>
      </c>
      <c r="O902" t="s">
        <v>74</v>
      </c>
      <c r="P902" t="s">
        <v>74</v>
      </c>
      <c r="Q902" t="s">
        <v>74</v>
      </c>
      <c r="R902" t="s">
        <v>74</v>
      </c>
      <c r="S902" t="s">
        <v>74</v>
      </c>
      <c r="T902" t="s">
        <v>74</v>
      </c>
      <c r="U902" t="s">
        <v>74</v>
      </c>
      <c r="V902" t="s">
        <v>74</v>
      </c>
      <c r="W902" t="s">
        <v>74</v>
      </c>
      <c r="X902" t="s">
        <v>74</v>
      </c>
      <c r="Y902" t="s">
        <v>74</v>
      </c>
      <c r="Z902" t="s">
        <v>74</v>
      </c>
      <c r="AA902" t="s">
        <v>74</v>
      </c>
      <c r="AB902" t="s">
        <v>74</v>
      </c>
      <c r="AC902" t="s">
        <v>74</v>
      </c>
      <c r="AD902" t="s">
        <v>74</v>
      </c>
      <c r="AE902" t="s">
        <v>74</v>
      </c>
      <c r="AF902" t="s">
        <v>74</v>
      </c>
      <c r="AG902">
        <v>0</v>
      </c>
      <c r="AH902">
        <v>0</v>
      </c>
      <c r="AI902">
        <v>0</v>
      </c>
      <c r="AJ902">
        <v>0</v>
      </c>
      <c r="AK902">
        <v>0</v>
      </c>
      <c r="AL902" t="s">
        <v>12800</v>
      </c>
      <c r="AM902" t="s">
        <v>12801</v>
      </c>
      <c r="AN902" t="s">
        <v>12802</v>
      </c>
      <c r="AO902" t="s">
        <v>12803</v>
      </c>
      <c r="AP902" t="s">
        <v>74</v>
      </c>
      <c r="AQ902" t="s">
        <v>74</v>
      </c>
      <c r="AR902" t="s">
        <v>12804</v>
      </c>
      <c r="AS902" t="s">
        <v>12805</v>
      </c>
      <c r="AT902" t="s">
        <v>12530</v>
      </c>
      <c r="AU902">
        <v>2003</v>
      </c>
      <c r="AV902">
        <v>73</v>
      </c>
      <c r="AW902">
        <v>11</v>
      </c>
      <c r="AX902" t="s">
        <v>74</v>
      </c>
      <c r="AY902" t="s">
        <v>74</v>
      </c>
      <c r="AZ902" t="s">
        <v>74</v>
      </c>
      <c r="BA902" t="s">
        <v>74</v>
      </c>
      <c r="BB902">
        <v>24</v>
      </c>
      <c r="BC902" t="s">
        <v>1135</v>
      </c>
      <c r="BD902" t="s">
        <v>74</v>
      </c>
      <c r="BE902" t="s">
        <v>74</v>
      </c>
      <c r="BF902" t="s">
        <v>74</v>
      </c>
      <c r="BG902" t="s">
        <v>74</v>
      </c>
      <c r="BH902" t="s">
        <v>74</v>
      </c>
      <c r="BI902">
        <v>3</v>
      </c>
      <c r="BJ902" t="s">
        <v>12806</v>
      </c>
      <c r="BK902" t="s">
        <v>96</v>
      </c>
      <c r="BL902" t="s">
        <v>3956</v>
      </c>
      <c r="BM902" t="s">
        <v>12807</v>
      </c>
      <c r="BN902" t="s">
        <v>74</v>
      </c>
      <c r="BO902" t="s">
        <v>74</v>
      </c>
      <c r="BP902" t="s">
        <v>74</v>
      </c>
      <c r="BQ902" t="s">
        <v>74</v>
      </c>
      <c r="BR902" t="s">
        <v>99</v>
      </c>
      <c r="BS902" t="s">
        <v>12808</v>
      </c>
      <c r="BT902" t="str">
        <f>HYPERLINK("https%3A%2F%2Fwww.webofscience.com%2Fwos%2Fwoscc%2Ffull-record%2FWOS:000187327200011","View Full Record in Web of Science")</f>
        <v>View Full Record in Web of Science</v>
      </c>
    </row>
    <row r="903" spans="1:72" x14ac:dyDescent="0.15">
      <c r="A903" t="s">
        <v>72</v>
      </c>
      <c r="B903" t="s">
        <v>12809</v>
      </c>
      <c r="C903" t="s">
        <v>74</v>
      </c>
      <c r="D903" t="s">
        <v>74</v>
      </c>
      <c r="E903" t="s">
        <v>74</v>
      </c>
      <c r="F903" t="s">
        <v>12809</v>
      </c>
      <c r="G903" t="s">
        <v>74</v>
      </c>
      <c r="H903" t="s">
        <v>74</v>
      </c>
      <c r="I903" t="s">
        <v>12810</v>
      </c>
      <c r="J903" t="s">
        <v>1176</v>
      </c>
      <c r="K903" t="s">
        <v>74</v>
      </c>
      <c r="L903" t="s">
        <v>74</v>
      </c>
      <c r="M903" t="s">
        <v>77</v>
      </c>
      <c r="N903" t="s">
        <v>78</v>
      </c>
      <c r="O903" t="s">
        <v>74</v>
      </c>
      <c r="P903" t="s">
        <v>74</v>
      </c>
      <c r="Q903" t="s">
        <v>74</v>
      </c>
      <c r="R903" t="s">
        <v>74</v>
      </c>
      <c r="S903" t="s">
        <v>74</v>
      </c>
      <c r="T903" t="s">
        <v>12811</v>
      </c>
      <c r="U903" t="s">
        <v>12812</v>
      </c>
      <c r="V903" t="s">
        <v>12813</v>
      </c>
      <c r="W903" t="s">
        <v>12814</v>
      </c>
      <c r="X903" t="s">
        <v>12815</v>
      </c>
      <c r="Y903" t="s">
        <v>12816</v>
      </c>
      <c r="Z903" t="s">
        <v>12817</v>
      </c>
      <c r="AA903" t="s">
        <v>12818</v>
      </c>
      <c r="AB903" t="s">
        <v>12819</v>
      </c>
      <c r="AC903" t="s">
        <v>74</v>
      </c>
      <c r="AD903" t="s">
        <v>74</v>
      </c>
      <c r="AE903" t="s">
        <v>74</v>
      </c>
      <c r="AF903" t="s">
        <v>74</v>
      </c>
      <c r="AG903">
        <v>41</v>
      </c>
      <c r="AH903">
        <v>44</v>
      </c>
      <c r="AI903">
        <v>47</v>
      </c>
      <c r="AJ903">
        <v>1</v>
      </c>
      <c r="AK903">
        <v>27</v>
      </c>
      <c r="AL903" t="s">
        <v>235</v>
      </c>
      <c r="AM903" t="s">
        <v>87</v>
      </c>
      <c r="AN903" t="s">
        <v>236</v>
      </c>
      <c r="AO903" t="s">
        <v>1184</v>
      </c>
      <c r="AP903" t="s">
        <v>1185</v>
      </c>
      <c r="AQ903" t="s">
        <v>74</v>
      </c>
      <c r="AR903" t="s">
        <v>1186</v>
      </c>
      <c r="AS903" t="s">
        <v>1187</v>
      </c>
      <c r="AT903" t="s">
        <v>12530</v>
      </c>
      <c r="AU903">
        <v>2003</v>
      </c>
      <c r="AV903">
        <v>136</v>
      </c>
      <c r="AW903">
        <v>3</v>
      </c>
      <c r="AX903" t="s">
        <v>74</v>
      </c>
      <c r="AY903" t="s">
        <v>74</v>
      </c>
      <c r="AZ903" t="s">
        <v>74</v>
      </c>
      <c r="BA903" t="s">
        <v>74</v>
      </c>
      <c r="BB903">
        <v>473</v>
      </c>
      <c r="BC903">
        <v>485</v>
      </c>
      <c r="BD903" t="s">
        <v>74</v>
      </c>
      <c r="BE903" t="s">
        <v>12820</v>
      </c>
      <c r="BF903" t="str">
        <f>HYPERLINK("http://dx.doi.org/10.1016/S1096-4959(03)00253-7","http://dx.doi.org/10.1016/S1096-4959(03)00253-7")</f>
        <v>http://dx.doi.org/10.1016/S1096-4959(03)00253-7</v>
      </c>
      <c r="BG903" t="s">
        <v>74</v>
      </c>
      <c r="BH903" t="s">
        <v>74</v>
      </c>
      <c r="BI903">
        <v>13</v>
      </c>
      <c r="BJ903" t="s">
        <v>1189</v>
      </c>
      <c r="BK903" t="s">
        <v>96</v>
      </c>
      <c r="BL903" t="s">
        <v>1189</v>
      </c>
      <c r="BM903" t="s">
        <v>12821</v>
      </c>
      <c r="BN903">
        <v>14602155</v>
      </c>
      <c r="BO903" t="s">
        <v>74</v>
      </c>
      <c r="BP903" t="s">
        <v>74</v>
      </c>
      <c r="BQ903" t="s">
        <v>74</v>
      </c>
      <c r="BR903" t="s">
        <v>99</v>
      </c>
      <c r="BS903" t="s">
        <v>12822</v>
      </c>
      <c r="BT903" t="str">
        <f>HYPERLINK("https%3A%2F%2Fwww.webofscience.com%2Fwos%2Fwoscc%2Ffull-record%2FWOS:000186504100009","View Full Record in Web of Science")</f>
        <v>View Full Record in Web of Science</v>
      </c>
    </row>
    <row r="904" spans="1:72" x14ac:dyDescent="0.15">
      <c r="A904" t="s">
        <v>72</v>
      </c>
      <c r="B904" t="s">
        <v>12823</v>
      </c>
      <c r="C904" t="s">
        <v>74</v>
      </c>
      <c r="D904" t="s">
        <v>74</v>
      </c>
      <c r="E904" t="s">
        <v>74</v>
      </c>
      <c r="F904" t="s">
        <v>12823</v>
      </c>
      <c r="G904" t="s">
        <v>74</v>
      </c>
      <c r="H904" t="s">
        <v>74</v>
      </c>
      <c r="I904" t="s">
        <v>12824</v>
      </c>
      <c r="J904" t="s">
        <v>12825</v>
      </c>
      <c r="K904" t="s">
        <v>74</v>
      </c>
      <c r="L904" t="s">
        <v>74</v>
      </c>
      <c r="M904" t="s">
        <v>77</v>
      </c>
      <c r="N904" t="s">
        <v>78</v>
      </c>
      <c r="O904" t="s">
        <v>74</v>
      </c>
      <c r="P904" t="s">
        <v>74</v>
      </c>
      <c r="Q904" t="s">
        <v>74</v>
      </c>
      <c r="R904" t="s">
        <v>74</v>
      </c>
      <c r="S904" t="s">
        <v>74</v>
      </c>
      <c r="T904" t="s">
        <v>74</v>
      </c>
      <c r="U904" t="s">
        <v>12826</v>
      </c>
      <c r="V904" t="s">
        <v>12827</v>
      </c>
      <c r="W904" t="s">
        <v>12828</v>
      </c>
      <c r="X904" t="s">
        <v>12829</v>
      </c>
      <c r="Y904" t="s">
        <v>12830</v>
      </c>
      <c r="Z904" t="s">
        <v>74</v>
      </c>
      <c r="AA904" t="s">
        <v>12831</v>
      </c>
      <c r="AB904" t="s">
        <v>12832</v>
      </c>
      <c r="AC904" t="s">
        <v>74</v>
      </c>
      <c r="AD904" t="s">
        <v>74</v>
      </c>
      <c r="AE904" t="s">
        <v>74</v>
      </c>
      <c r="AF904" t="s">
        <v>74</v>
      </c>
      <c r="AG904">
        <v>21</v>
      </c>
      <c r="AH904">
        <v>7</v>
      </c>
      <c r="AI904">
        <v>9</v>
      </c>
      <c r="AJ904">
        <v>0</v>
      </c>
      <c r="AK904">
        <v>2</v>
      </c>
      <c r="AL904" t="s">
        <v>123</v>
      </c>
      <c r="AM904" t="s">
        <v>87</v>
      </c>
      <c r="AN904" t="s">
        <v>124</v>
      </c>
      <c r="AO904" t="s">
        <v>12833</v>
      </c>
      <c r="AP904" t="s">
        <v>74</v>
      </c>
      <c r="AQ904" t="s">
        <v>74</v>
      </c>
      <c r="AR904" t="s">
        <v>12834</v>
      </c>
      <c r="AS904" t="s">
        <v>12835</v>
      </c>
      <c r="AT904" t="s">
        <v>12530</v>
      </c>
      <c r="AU904">
        <v>2003</v>
      </c>
      <c r="AV904">
        <v>47</v>
      </c>
      <c r="AW904">
        <v>5</v>
      </c>
      <c r="AX904" t="s">
        <v>74</v>
      </c>
      <c r="AY904" t="s">
        <v>74</v>
      </c>
      <c r="AZ904" t="s">
        <v>74</v>
      </c>
      <c r="BA904" t="s">
        <v>74</v>
      </c>
      <c r="BB904">
        <v>412</v>
      </c>
      <c r="BC904">
        <v>416</v>
      </c>
      <c r="BD904" t="s">
        <v>74</v>
      </c>
      <c r="BE904" t="s">
        <v>12836</v>
      </c>
      <c r="BF904" t="str">
        <f>HYPERLINK("http://dx.doi.org/10.1007/s00284-003-4006-8","http://dx.doi.org/10.1007/s00284-003-4006-8")</f>
        <v>http://dx.doi.org/10.1007/s00284-003-4006-8</v>
      </c>
      <c r="BG904" t="s">
        <v>74</v>
      </c>
      <c r="BH904" t="s">
        <v>74</v>
      </c>
      <c r="BI904">
        <v>5</v>
      </c>
      <c r="BJ904" t="s">
        <v>743</v>
      </c>
      <c r="BK904" t="s">
        <v>96</v>
      </c>
      <c r="BL904" t="s">
        <v>743</v>
      </c>
      <c r="BM904" t="s">
        <v>12837</v>
      </c>
      <c r="BN904">
        <v>14669920</v>
      </c>
      <c r="BO904" t="s">
        <v>74</v>
      </c>
      <c r="BP904" t="s">
        <v>74</v>
      </c>
      <c r="BQ904" t="s">
        <v>74</v>
      </c>
      <c r="BR904" t="s">
        <v>99</v>
      </c>
      <c r="BS904" t="s">
        <v>12838</v>
      </c>
      <c r="BT904" t="str">
        <f>HYPERLINK("https%3A%2F%2Fwww.webofscience.com%2Fwos%2Fwoscc%2Ffull-record%2FWOS:000185557600012","View Full Record in Web of Science")</f>
        <v>View Full Record in Web of Science</v>
      </c>
    </row>
    <row r="905" spans="1:72" x14ac:dyDescent="0.15">
      <c r="A905" t="s">
        <v>72</v>
      </c>
      <c r="B905" t="s">
        <v>12839</v>
      </c>
      <c r="C905" t="s">
        <v>74</v>
      </c>
      <c r="D905" t="s">
        <v>74</v>
      </c>
      <c r="E905" t="s">
        <v>74</v>
      </c>
      <c r="F905" t="s">
        <v>12839</v>
      </c>
      <c r="G905" t="s">
        <v>74</v>
      </c>
      <c r="H905" t="s">
        <v>74</v>
      </c>
      <c r="I905" t="s">
        <v>12840</v>
      </c>
      <c r="J905" t="s">
        <v>7227</v>
      </c>
      <c r="K905" t="s">
        <v>74</v>
      </c>
      <c r="L905" t="s">
        <v>74</v>
      </c>
      <c r="M905" t="s">
        <v>77</v>
      </c>
      <c r="N905" t="s">
        <v>78</v>
      </c>
      <c r="O905" t="s">
        <v>74</v>
      </c>
      <c r="P905" t="s">
        <v>74</v>
      </c>
      <c r="Q905" t="s">
        <v>74</v>
      </c>
      <c r="R905" t="s">
        <v>74</v>
      </c>
      <c r="S905" t="s">
        <v>74</v>
      </c>
      <c r="T905" t="s">
        <v>12841</v>
      </c>
      <c r="U905" t="s">
        <v>12842</v>
      </c>
      <c r="V905" t="s">
        <v>12843</v>
      </c>
      <c r="W905" t="s">
        <v>12844</v>
      </c>
      <c r="X905" t="s">
        <v>12845</v>
      </c>
      <c r="Y905" t="s">
        <v>1932</v>
      </c>
      <c r="Z905" t="s">
        <v>12846</v>
      </c>
      <c r="AA905" t="s">
        <v>12847</v>
      </c>
      <c r="AB905" t="s">
        <v>12848</v>
      </c>
      <c r="AC905" t="s">
        <v>74</v>
      </c>
      <c r="AD905" t="s">
        <v>74</v>
      </c>
      <c r="AE905" t="s">
        <v>74</v>
      </c>
      <c r="AF905" t="s">
        <v>74</v>
      </c>
      <c r="AG905">
        <v>60</v>
      </c>
      <c r="AH905">
        <v>106</v>
      </c>
      <c r="AI905">
        <v>125</v>
      </c>
      <c r="AJ905">
        <v>3</v>
      </c>
      <c r="AK905">
        <v>34</v>
      </c>
      <c r="AL905" t="s">
        <v>198</v>
      </c>
      <c r="AM905" t="s">
        <v>178</v>
      </c>
      <c r="AN905" t="s">
        <v>179</v>
      </c>
      <c r="AO905" t="s">
        <v>7233</v>
      </c>
      <c r="AP905" t="s">
        <v>7234</v>
      </c>
      <c r="AQ905" t="s">
        <v>74</v>
      </c>
      <c r="AR905" t="s">
        <v>7235</v>
      </c>
      <c r="AS905" t="s">
        <v>7236</v>
      </c>
      <c r="AT905" t="s">
        <v>12530</v>
      </c>
      <c r="AU905">
        <v>2003</v>
      </c>
      <c r="AV905">
        <v>12</v>
      </c>
      <c r="AW905">
        <v>6</v>
      </c>
      <c r="AX905" t="s">
        <v>74</v>
      </c>
      <c r="AY905" t="s">
        <v>74</v>
      </c>
      <c r="AZ905" t="s">
        <v>74</v>
      </c>
      <c r="BA905" t="s">
        <v>74</v>
      </c>
      <c r="BB905">
        <v>569</v>
      </c>
      <c r="BC905">
        <v>583</v>
      </c>
      <c r="BD905" t="s">
        <v>74</v>
      </c>
      <c r="BE905" t="s">
        <v>12849</v>
      </c>
      <c r="BF905" t="str">
        <f>HYPERLINK("http://dx.doi.org/10.1046/j.1365-2419.2003.00268.x","http://dx.doi.org/10.1046/j.1365-2419.2003.00268.x")</f>
        <v>http://dx.doi.org/10.1046/j.1365-2419.2003.00268.x</v>
      </c>
      <c r="BG905" t="s">
        <v>74</v>
      </c>
      <c r="BH905" t="s">
        <v>74</v>
      </c>
      <c r="BI905">
        <v>15</v>
      </c>
      <c r="BJ905" t="s">
        <v>7238</v>
      </c>
      <c r="BK905" t="s">
        <v>96</v>
      </c>
      <c r="BL905" t="s">
        <v>7238</v>
      </c>
      <c r="BM905" t="s">
        <v>12850</v>
      </c>
      <c r="BN905" t="s">
        <v>74</v>
      </c>
      <c r="BO905" t="s">
        <v>74</v>
      </c>
      <c r="BP905" t="s">
        <v>74</v>
      </c>
      <c r="BQ905" t="s">
        <v>74</v>
      </c>
      <c r="BR905" t="s">
        <v>99</v>
      </c>
      <c r="BS905" t="s">
        <v>12851</v>
      </c>
      <c r="BT905" t="str">
        <f>HYPERLINK("https%3A%2F%2Fwww.webofscience.com%2Fwos%2Fwoscc%2Ffull-record%2FWOS:000186895700004","View Full Record in Web of Science")</f>
        <v>View Full Record in Web of Science</v>
      </c>
    </row>
    <row r="906" spans="1:72" x14ac:dyDescent="0.15">
      <c r="A906" t="s">
        <v>72</v>
      </c>
      <c r="B906" t="s">
        <v>12852</v>
      </c>
      <c r="C906" t="s">
        <v>74</v>
      </c>
      <c r="D906" t="s">
        <v>74</v>
      </c>
      <c r="E906" t="s">
        <v>74</v>
      </c>
      <c r="F906" t="s">
        <v>12852</v>
      </c>
      <c r="G906" t="s">
        <v>74</v>
      </c>
      <c r="H906" t="s">
        <v>74</v>
      </c>
      <c r="I906" t="s">
        <v>12853</v>
      </c>
      <c r="J906" t="s">
        <v>1338</v>
      </c>
      <c r="K906" t="s">
        <v>74</v>
      </c>
      <c r="L906" t="s">
        <v>74</v>
      </c>
      <c r="M906" t="s">
        <v>77</v>
      </c>
      <c r="N906" t="s">
        <v>78</v>
      </c>
      <c r="O906" t="s">
        <v>74</v>
      </c>
      <c r="P906" t="s">
        <v>74</v>
      </c>
      <c r="Q906" t="s">
        <v>74</v>
      </c>
      <c r="R906" t="s">
        <v>74</v>
      </c>
      <c r="S906" t="s">
        <v>74</v>
      </c>
      <c r="T906" t="s">
        <v>12854</v>
      </c>
      <c r="U906" t="s">
        <v>12855</v>
      </c>
      <c r="V906" t="s">
        <v>12856</v>
      </c>
      <c r="W906" t="s">
        <v>12857</v>
      </c>
      <c r="X906" t="s">
        <v>12858</v>
      </c>
      <c r="Y906" t="s">
        <v>12859</v>
      </c>
      <c r="Z906" t="s">
        <v>74</v>
      </c>
      <c r="AA906" t="s">
        <v>12137</v>
      </c>
      <c r="AB906" t="s">
        <v>12138</v>
      </c>
      <c r="AC906" t="s">
        <v>74</v>
      </c>
      <c r="AD906" t="s">
        <v>74</v>
      </c>
      <c r="AE906" t="s">
        <v>74</v>
      </c>
      <c r="AF906" t="s">
        <v>74</v>
      </c>
      <c r="AG906">
        <v>35</v>
      </c>
      <c r="AH906">
        <v>40</v>
      </c>
      <c r="AI906">
        <v>43</v>
      </c>
      <c r="AJ906">
        <v>0</v>
      </c>
      <c r="AK906">
        <v>14</v>
      </c>
      <c r="AL906" t="s">
        <v>12860</v>
      </c>
      <c r="AM906" t="s">
        <v>1313</v>
      </c>
      <c r="AN906" t="s">
        <v>1314</v>
      </c>
      <c r="AO906" t="s">
        <v>1347</v>
      </c>
      <c r="AP906" t="s">
        <v>74</v>
      </c>
      <c r="AQ906" t="s">
        <v>74</v>
      </c>
      <c r="AR906" t="s">
        <v>1338</v>
      </c>
      <c r="AS906" t="s">
        <v>561</v>
      </c>
      <c r="AT906" t="s">
        <v>12530</v>
      </c>
      <c r="AU906">
        <v>2003</v>
      </c>
      <c r="AV906">
        <v>31</v>
      </c>
      <c r="AW906">
        <v>11</v>
      </c>
      <c r="AX906" t="s">
        <v>74</v>
      </c>
      <c r="AY906" t="s">
        <v>74</v>
      </c>
      <c r="AZ906" t="s">
        <v>74</v>
      </c>
      <c r="BA906" t="s">
        <v>74</v>
      </c>
      <c r="BB906">
        <v>1013</v>
      </c>
      <c r="BC906">
        <v>1016</v>
      </c>
      <c r="BD906" t="s">
        <v>74</v>
      </c>
      <c r="BE906" t="s">
        <v>12861</v>
      </c>
      <c r="BF906" t="str">
        <f>HYPERLINK("http://dx.doi.org/10.1130/G19622.1","http://dx.doi.org/10.1130/G19622.1")</f>
        <v>http://dx.doi.org/10.1130/G19622.1</v>
      </c>
      <c r="BG906" t="s">
        <v>74</v>
      </c>
      <c r="BH906" t="s">
        <v>74</v>
      </c>
      <c r="BI906">
        <v>4</v>
      </c>
      <c r="BJ906" t="s">
        <v>561</v>
      </c>
      <c r="BK906" t="s">
        <v>96</v>
      </c>
      <c r="BL906" t="s">
        <v>561</v>
      </c>
      <c r="BM906" t="s">
        <v>12862</v>
      </c>
      <c r="BN906" t="s">
        <v>74</v>
      </c>
      <c r="BO906" t="s">
        <v>74</v>
      </c>
      <c r="BP906" t="s">
        <v>74</v>
      </c>
      <c r="BQ906" t="s">
        <v>74</v>
      </c>
      <c r="BR906" t="s">
        <v>99</v>
      </c>
      <c r="BS906" t="s">
        <v>12863</v>
      </c>
      <c r="BT906" t="str">
        <f>HYPERLINK("https%3A%2F%2Fwww.webofscience.com%2Fwos%2Fwoscc%2Ffull-record%2FWOS:000186411100022","View Full Record in Web of Science")</f>
        <v>View Full Record in Web of Science</v>
      </c>
    </row>
    <row r="907" spans="1:72" x14ac:dyDescent="0.15">
      <c r="A907" t="s">
        <v>72</v>
      </c>
      <c r="B907" t="s">
        <v>12864</v>
      </c>
      <c r="C907" t="s">
        <v>74</v>
      </c>
      <c r="D907" t="s">
        <v>74</v>
      </c>
      <c r="E907" t="s">
        <v>74</v>
      </c>
      <c r="F907" t="s">
        <v>12864</v>
      </c>
      <c r="G907" t="s">
        <v>74</v>
      </c>
      <c r="H907" t="s">
        <v>74</v>
      </c>
      <c r="I907" t="s">
        <v>12865</v>
      </c>
      <c r="J907" t="s">
        <v>12866</v>
      </c>
      <c r="K907" t="s">
        <v>74</v>
      </c>
      <c r="L907" t="s">
        <v>74</v>
      </c>
      <c r="M907" t="s">
        <v>77</v>
      </c>
      <c r="N907" t="s">
        <v>78</v>
      </c>
      <c r="O907" t="s">
        <v>74</v>
      </c>
      <c r="P907" t="s">
        <v>74</v>
      </c>
      <c r="Q907" t="s">
        <v>74</v>
      </c>
      <c r="R907" t="s">
        <v>74</v>
      </c>
      <c r="S907" t="s">
        <v>74</v>
      </c>
      <c r="T907" t="s">
        <v>74</v>
      </c>
      <c r="U907" t="s">
        <v>12867</v>
      </c>
      <c r="V907" t="s">
        <v>12868</v>
      </c>
      <c r="W907" t="s">
        <v>12869</v>
      </c>
      <c r="X907" t="s">
        <v>11190</v>
      </c>
      <c r="Y907" t="s">
        <v>12870</v>
      </c>
      <c r="Z907" t="s">
        <v>12871</v>
      </c>
      <c r="AA907" t="s">
        <v>12872</v>
      </c>
      <c r="AB907" t="s">
        <v>12873</v>
      </c>
      <c r="AC907" t="s">
        <v>74</v>
      </c>
      <c r="AD907" t="s">
        <v>74</v>
      </c>
      <c r="AE907" t="s">
        <v>74</v>
      </c>
      <c r="AF907" t="s">
        <v>74</v>
      </c>
      <c r="AG907">
        <v>27</v>
      </c>
      <c r="AH907">
        <v>3</v>
      </c>
      <c r="AI907">
        <v>3</v>
      </c>
      <c r="AJ907">
        <v>3</v>
      </c>
      <c r="AK907">
        <v>13</v>
      </c>
      <c r="AL907" t="s">
        <v>198</v>
      </c>
      <c r="AM907" t="s">
        <v>178</v>
      </c>
      <c r="AN907" t="s">
        <v>179</v>
      </c>
      <c r="AO907" t="s">
        <v>12874</v>
      </c>
      <c r="AP907" t="s">
        <v>12875</v>
      </c>
      <c r="AQ907" t="s">
        <v>74</v>
      </c>
      <c r="AR907" t="s">
        <v>12876</v>
      </c>
      <c r="AS907" t="s">
        <v>12877</v>
      </c>
      <c r="AT907" t="s">
        <v>12530</v>
      </c>
      <c r="AU907">
        <v>2003</v>
      </c>
      <c r="AV907">
        <v>51</v>
      </c>
      <c r="AW907">
        <v>6</v>
      </c>
      <c r="AX907" t="s">
        <v>74</v>
      </c>
      <c r="AY907" t="s">
        <v>74</v>
      </c>
      <c r="AZ907" t="s">
        <v>74</v>
      </c>
      <c r="BA907" t="s">
        <v>74</v>
      </c>
      <c r="BB907">
        <v>501</v>
      </c>
      <c r="BC907">
        <v>515</v>
      </c>
      <c r="BD907" t="s">
        <v>74</v>
      </c>
      <c r="BE907" t="s">
        <v>12878</v>
      </c>
      <c r="BF907" t="str">
        <f>HYPERLINK("http://dx.doi.org/10.1046/j.1365-2478.2003.00388.x","http://dx.doi.org/10.1046/j.1365-2478.2003.00388.x")</f>
        <v>http://dx.doi.org/10.1046/j.1365-2478.2003.00388.x</v>
      </c>
      <c r="BG907" t="s">
        <v>74</v>
      </c>
      <c r="BH907" t="s">
        <v>74</v>
      </c>
      <c r="BI907">
        <v>15</v>
      </c>
      <c r="BJ907" t="s">
        <v>262</v>
      </c>
      <c r="BK907" t="s">
        <v>96</v>
      </c>
      <c r="BL907" t="s">
        <v>262</v>
      </c>
      <c r="BM907" t="s">
        <v>12879</v>
      </c>
      <c r="BN907" t="s">
        <v>74</v>
      </c>
      <c r="BO907" t="s">
        <v>74</v>
      </c>
      <c r="BP907" t="s">
        <v>74</v>
      </c>
      <c r="BQ907" t="s">
        <v>74</v>
      </c>
      <c r="BR907" t="s">
        <v>99</v>
      </c>
      <c r="BS907" t="s">
        <v>12880</v>
      </c>
      <c r="BT907" t="str">
        <f>HYPERLINK("https%3A%2F%2Fwww.webofscience.com%2Fwos%2Fwoscc%2Ffull-record%2FWOS:000186171900003","View Full Record in Web of Science")</f>
        <v>View Full Record in Web of Science</v>
      </c>
    </row>
    <row r="908" spans="1:72" x14ac:dyDescent="0.15">
      <c r="A908" t="s">
        <v>72</v>
      </c>
      <c r="B908" t="s">
        <v>12881</v>
      </c>
      <c r="C908" t="s">
        <v>74</v>
      </c>
      <c r="D908" t="s">
        <v>74</v>
      </c>
      <c r="E908" t="s">
        <v>74</v>
      </c>
      <c r="F908" t="s">
        <v>12881</v>
      </c>
      <c r="G908" t="s">
        <v>74</v>
      </c>
      <c r="H908" t="s">
        <v>74</v>
      </c>
      <c r="I908" t="s">
        <v>12882</v>
      </c>
      <c r="J908" t="s">
        <v>545</v>
      </c>
      <c r="K908" t="s">
        <v>74</v>
      </c>
      <c r="L908" t="s">
        <v>74</v>
      </c>
      <c r="M908" t="s">
        <v>77</v>
      </c>
      <c r="N908" t="s">
        <v>78</v>
      </c>
      <c r="O908" t="s">
        <v>74</v>
      </c>
      <c r="P908" t="s">
        <v>74</v>
      </c>
      <c r="Q908" t="s">
        <v>74</v>
      </c>
      <c r="R908" t="s">
        <v>74</v>
      </c>
      <c r="S908" t="s">
        <v>74</v>
      </c>
      <c r="T908" t="s">
        <v>12883</v>
      </c>
      <c r="U908" t="s">
        <v>12884</v>
      </c>
      <c r="V908" t="s">
        <v>12885</v>
      </c>
      <c r="W908" t="s">
        <v>12886</v>
      </c>
      <c r="X908" t="s">
        <v>4846</v>
      </c>
      <c r="Y908" t="s">
        <v>12887</v>
      </c>
      <c r="Z908" t="s">
        <v>74</v>
      </c>
      <c r="AA908" t="s">
        <v>74</v>
      </c>
      <c r="AB908" t="s">
        <v>74</v>
      </c>
      <c r="AC908" t="s">
        <v>74</v>
      </c>
      <c r="AD908" t="s">
        <v>74</v>
      </c>
      <c r="AE908" t="s">
        <v>74</v>
      </c>
      <c r="AF908" t="s">
        <v>74</v>
      </c>
      <c r="AG908">
        <v>10</v>
      </c>
      <c r="AH908">
        <v>31</v>
      </c>
      <c r="AI908">
        <v>33</v>
      </c>
      <c r="AJ908">
        <v>1</v>
      </c>
      <c r="AK908">
        <v>4</v>
      </c>
      <c r="AL908" t="s">
        <v>363</v>
      </c>
      <c r="AM908" t="s">
        <v>364</v>
      </c>
      <c r="AN908" t="s">
        <v>365</v>
      </c>
      <c r="AO908" t="s">
        <v>553</v>
      </c>
      <c r="AP908" t="s">
        <v>74</v>
      </c>
      <c r="AQ908" t="s">
        <v>74</v>
      </c>
      <c r="AR908" t="s">
        <v>555</v>
      </c>
      <c r="AS908" t="s">
        <v>556</v>
      </c>
      <c r="AT908" t="s">
        <v>12888</v>
      </c>
      <c r="AU908">
        <v>2003</v>
      </c>
      <c r="AV908">
        <v>30</v>
      </c>
      <c r="AW908">
        <v>21</v>
      </c>
      <c r="AX908" t="s">
        <v>74</v>
      </c>
      <c r="AY908" t="s">
        <v>74</v>
      </c>
      <c r="AZ908" t="s">
        <v>74</v>
      </c>
      <c r="BA908" t="s">
        <v>74</v>
      </c>
      <c r="BB908" t="s">
        <v>74</v>
      </c>
      <c r="BC908" t="s">
        <v>74</v>
      </c>
      <c r="BD908">
        <v>2081</v>
      </c>
      <c r="BE908" t="s">
        <v>12889</v>
      </c>
      <c r="BF908" t="str">
        <f>HYPERLINK("http://dx.doi.org/10.1029/2003GL018280","http://dx.doi.org/10.1029/2003GL018280")</f>
        <v>http://dx.doi.org/10.1029/2003GL018280</v>
      </c>
      <c r="BG908" t="s">
        <v>74</v>
      </c>
      <c r="BH908" t="s">
        <v>74</v>
      </c>
      <c r="BI908">
        <v>4</v>
      </c>
      <c r="BJ908" t="s">
        <v>560</v>
      </c>
      <c r="BK908" t="s">
        <v>96</v>
      </c>
      <c r="BL908" t="s">
        <v>561</v>
      </c>
      <c r="BM908" t="s">
        <v>12890</v>
      </c>
      <c r="BN908" t="s">
        <v>74</v>
      </c>
      <c r="BO908" t="s">
        <v>516</v>
      </c>
      <c r="BP908" t="s">
        <v>74</v>
      </c>
      <c r="BQ908" t="s">
        <v>74</v>
      </c>
      <c r="BR908" t="s">
        <v>99</v>
      </c>
      <c r="BS908" t="s">
        <v>12891</v>
      </c>
      <c r="BT908" t="str">
        <f>HYPERLINK("https%3A%2F%2Fwww.webofscience.com%2Fwos%2Fwoscc%2Ffull-record%2FWOS:000186394900003","View Full Record in Web of Science")</f>
        <v>View Full Record in Web of Science</v>
      </c>
    </row>
    <row r="909" spans="1:72" x14ac:dyDescent="0.15">
      <c r="A909" t="s">
        <v>72</v>
      </c>
      <c r="B909" t="s">
        <v>12892</v>
      </c>
      <c r="C909" t="s">
        <v>74</v>
      </c>
      <c r="D909" t="s">
        <v>74</v>
      </c>
      <c r="E909" t="s">
        <v>74</v>
      </c>
      <c r="F909" t="s">
        <v>12892</v>
      </c>
      <c r="G909" t="s">
        <v>74</v>
      </c>
      <c r="H909" t="s">
        <v>74</v>
      </c>
      <c r="I909" t="s">
        <v>12893</v>
      </c>
      <c r="J909" t="s">
        <v>1386</v>
      </c>
      <c r="K909" t="s">
        <v>74</v>
      </c>
      <c r="L909" t="s">
        <v>74</v>
      </c>
      <c r="M909" t="s">
        <v>77</v>
      </c>
      <c r="N909" t="s">
        <v>78</v>
      </c>
      <c r="O909" t="s">
        <v>74</v>
      </c>
      <c r="P909" t="s">
        <v>74</v>
      </c>
      <c r="Q909" t="s">
        <v>74</v>
      </c>
      <c r="R909" t="s">
        <v>74</v>
      </c>
      <c r="S909" t="s">
        <v>74</v>
      </c>
      <c r="T909" t="s">
        <v>12894</v>
      </c>
      <c r="U909" t="s">
        <v>12895</v>
      </c>
      <c r="V909" t="s">
        <v>12896</v>
      </c>
      <c r="W909" t="s">
        <v>12897</v>
      </c>
      <c r="X909" t="s">
        <v>12898</v>
      </c>
      <c r="Y909" t="s">
        <v>12899</v>
      </c>
      <c r="Z909" t="s">
        <v>12900</v>
      </c>
      <c r="AA909" t="s">
        <v>74</v>
      </c>
      <c r="AB909" t="s">
        <v>12901</v>
      </c>
      <c r="AC909" t="s">
        <v>74</v>
      </c>
      <c r="AD909" t="s">
        <v>74</v>
      </c>
      <c r="AE909" t="s">
        <v>74</v>
      </c>
      <c r="AF909" t="s">
        <v>74</v>
      </c>
      <c r="AG909">
        <v>69</v>
      </c>
      <c r="AH909">
        <v>23</v>
      </c>
      <c r="AI909">
        <v>26</v>
      </c>
      <c r="AJ909">
        <v>0</v>
      </c>
      <c r="AK909">
        <v>20</v>
      </c>
      <c r="AL909" t="s">
        <v>685</v>
      </c>
      <c r="AM909" t="s">
        <v>529</v>
      </c>
      <c r="AN909" t="s">
        <v>686</v>
      </c>
      <c r="AO909" t="s">
        <v>1396</v>
      </c>
      <c r="AP909" t="s">
        <v>3001</v>
      </c>
      <c r="AQ909" t="s">
        <v>74</v>
      </c>
      <c r="AR909" t="s">
        <v>1397</v>
      </c>
      <c r="AS909" t="s">
        <v>1398</v>
      </c>
      <c r="AT909" t="s">
        <v>12530</v>
      </c>
      <c r="AU909">
        <v>2003</v>
      </c>
      <c r="AV909">
        <v>39</v>
      </c>
      <c r="AW909" t="s">
        <v>710</v>
      </c>
      <c r="AX909" t="s">
        <v>74</v>
      </c>
      <c r="AY909" t="s">
        <v>74</v>
      </c>
      <c r="AZ909" t="s">
        <v>74</v>
      </c>
      <c r="BA909" t="s">
        <v>74</v>
      </c>
      <c r="BB909">
        <v>227</v>
      </c>
      <c r="BC909">
        <v>256</v>
      </c>
      <c r="BD909" t="s">
        <v>74</v>
      </c>
      <c r="BE909" t="s">
        <v>12902</v>
      </c>
      <c r="BF909" t="str">
        <f>HYPERLINK("http://dx.doi.org/10.1016/S0921-8181(03)00118-8","http://dx.doi.org/10.1016/S0921-8181(03)00118-8")</f>
        <v>http://dx.doi.org/10.1016/S0921-8181(03)00118-8</v>
      </c>
      <c r="BG909" t="s">
        <v>74</v>
      </c>
      <c r="BH909" t="s">
        <v>74</v>
      </c>
      <c r="BI909">
        <v>30</v>
      </c>
      <c r="BJ909" t="s">
        <v>1400</v>
      </c>
      <c r="BK909" t="s">
        <v>96</v>
      </c>
      <c r="BL909" t="s">
        <v>1401</v>
      </c>
      <c r="BM909" t="s">
        <v>12903</v>
      </c>
      <c r="BN909" t="s">
        <v>74</v>
      </c>
      <c r="BO909" t="s">
        <v>74</v>
      </c>
      <c r="BP909" t="s">
        <v>74</v>
      </c>
      <c r="BQ909" t="s">
        <v>74</v>
      </c>
      <c r="BR909" t="s">
        <v>99</v>
      </c>
      <c r="BS909" t="s">
        <v>12904</v>
      </c>
      <c r="BT909" t="str">
        <f>HYPERLINK("https%3A%2F%2Fwww.webofscience.com%2Fwos%2Fwoscc%2Ffull-record%2FWOS:000185958600003","View Full Record in Web of Science")</f>
        <v>View Full Record in Web of Science</v>
      </c>
    </row>
    <row r="910" spans="1:72" x14ac:dyDescent="0.15">
      <c r="A910" t="s">
        <v>72</v>
      </c>
      <c r="B910" t="s">
        <v>12905</v>
      </c>
      <c r="C910" t="s">
        <v>74</v>
      </c>
      <c r="D910" t="s">
        <v>74</v>
      </c>
      <c r="E910" t="s">
        <v>74</v>
      </c>
      <c r="F910" t="s">
        <v>12905</v>
      </c>
      <c r="G910" t="s">
        <v>74</v>
      </c>
      <c r="H910" t="s">
        <v>74</v>
      </c>
      <c r="I910" t="s">
        <v>12906</v>
      </c>
      <c r="J910" t="s">
        <v>1386</v>
      </c>
      <c r="K910" t="s">
        <v>74</v>
      </c>
      <c r="L910" t="s">
        <v>74</v>
      </c>
      <c r="M910" t="s">
        <v>77</v>
      </c>
      <c r="N910" t="s">
        <v>78</v>
      </c>
      <c r="O910" t="s">
        <v>74</v>
      </c>
      <c r="P910" t="s">
        <v>74</v>
      </c>
      <c r="Q910" t="s">
        <v>74</v>
      </c>
      <c r="R910" t="s">
        <v>74</v>
      </c>
      <c r="S910" t="s">
        <v>74</v>
      </c>
      <c r="T910" t="s">
        <v>12907</v>
      </c>
      <c r="U910" t="s">
        <v>12908</v>
      </c>
      <c r="V910" t="s">
        <v>12909</v>
      </c>
      <c r="W910" t="s">
        <v>12910</v>
      </c>
      <c r="X910" t="s">
        <v>12911</v>
      </c>
      <c r="Y910" t="s">
        <v>12912</v>
      </c>
      <c r="Z910" t="s">
        <v>12913</v>
      </c>
      <c r="AA910" t="s">
        <v>74</v>
      </c>
      <c r="AB910" t="s">
        <v>74</v>
      </c>
      <c r="AC910" t="s">
        <v>74</v>
      </c>
      <c r="AD910" t="s">
        <v>74</v>
      </c>
      <c r="AE910" t="s">
        <v>74</v>
      </c>
      <c r="AF910" t="s">
        <v>74</v>
      </c>
      <c r="AG910">
        <v>49</v>
      </c>
      <c r="AH910">
        <v>16</v>
      </c>
      <c r="AI910">
        <v>17</v>
      </c>
      <c r="AJ910">
        <v>1</v>
      </c>
      <c r="AK910">
        <v>9</v>
      </c>
      <c r="AL910" t="s">
        <v>528</v>
      </c>
      <c r="AM910" t="s">
        <v>529</v>
      </c>
      <c r="AN910" t="s">
        <v>530</v>
      </c>
      <c r="AO910" t="s">
        <v>1396</v>
      </c>
      <c r="AP910" t="s">
        <v>3001</v>
      </c>
      <c r="AQ910" t="s">
        <v>74</v>
      </c>
      <c r="AR910" t="s">
        <v>1397</v>
      </c>
      <c r="AS910" t="s">
        <v>1398</v>
      </c>
      <c r="AT910" t="s">
        <v>12530</v>
      </c>
      <c r="AU910">
        <v>2003</v>
      </c>
      <c r="AV910">
        <v>39</v>
      </c>
      <c r="AW910" t="s">
        <v>710</v>
      </c>
      <c r="AX910" t="s">
        <v>74</v>
      </c>
      <c r="AY910" t="s">
        <v>74</v>
      </c>
      <c r="AZ910" t="s">
        <v>74</v>
      </c>
      <c r="BA910" t="s">
        <v>74</v>
      </c>
      <c r="BB910">
        <v>257</v>
      </c>
      <c r="BC910">
        <v>269</v>
      </c>
      <c r="BD910" t="s">
        <v>74</v>
      </c>
      <c r="BE910" t="s">
        <v>12914</v>
      </c>
      <c r="BF910" t="str">
        <f>HYPERLINK("http://dx.doi.org/10.1016/S0921-8181(03)00119-X","http://dx.doi.org/10.1016/S0921-8181(03)00119-X")</f>
        <v>http://dx.doi.org/10.1016/S0921-8181(03)00119-X</v>
      </c>
      <c r="BG910" t="s">
        <v>74</v>
      </c>
      <c r="BH910" t="s">
        <v>74</v>
      </c>
      <c r="BI910">
        <v>13</v>
      </c>
      <c r="BJ910" t="s">
        <v>1400</v>
      </c>
      <c r="BK910" t="s">
        <v>96</v>
      </c>
      <c r="BL910" t="s">
        <v>1401</v>
      </c>
      <c r="BM910" t="s">
        <v>12903</v>
      </c>
      <c r="BN910" t="s">
        <v>74</v>
      </c>
      <c r="BO910" t="s">
        <v>74</v>
      </c>
      <c r="BP910" t="s">
        <v>74</v>
      </c>
      <c r="BQ910" t="s">
        <v>74</v>
      </c>
      <c r="BR910" t="s">
        <v>99</v>
      </c>
      <c r="BS910" t="s">
        <v>12915</v>
      </c>
      <c r="BT910" t="str">
        <f>HYPERLINK("https%3A%2F%2Fwww.webofscience.com%2Fwos%2Fwoscc%2Ffull-record%2FWOS:000185958600004","View Full Record in Web of Science")</f>
        <v>View Full Record in Web of Science</v>
      </c>
    </row>
    <row r="911" spans="1:72" x14ac:dyDescent="0.15">
      <c r="A911" t="s">
        <v>72</v>
      </c>
      <c r="B911" t="s">
        <v>12916</v>
      </c>
      <c r="C911" t="s">
        <v>74</v>
      </c>
      <c r="D911" t="s">
        <v>74</v>
      </c>
      <c r="E911" t="s">
        <v>74</v>
      </c>
      <c r="F911" t="s">
        <v>12916</v>
      </c>
      <c r="G911" t="s">
        <v>74</v>
      </c>
      <c r="H911" t="s">
        <v>74</v>
      </c>
      <c r="I911" t="s">
        <v>12917</v>
      </c>
      <c r="J911" t="s">
        <v>12918</v>
      </c>
      <c r="K911" t="s">
        <v>74</v>
      </c>
      <c r="L911" t="s">
        <v>74</v>
      </c>
      <c r="M911" t="s">
        <v>12919</v>
      </c>
      <c r="N911" t="s">
        <v>268</v>
      </c>
      <c r="O911" t="s">
        <v>74</v>
      </c>
      <c r="P911" t="s">
        <v>74</v>
      </c>
      <c r="Q911" t="s">
        <v>74</v>
      </c>
      <c r="R911" t="s">
        <v>74</v>
      </c>
      <c r="S911" t="s">
        <v>74</v>
      </c>
      <c r="T911" t="s">
        <v>12920</v>
      </c>
      <c r="U911" t="s">
        <v>12921</v>
      </c>
      <c r="V911" t="s">
        <v>12922</v>
      </c>
      <c r="W911" t="s">
        <v>12923</v>
      </c>
      <c r="X911" t="s">
        <v>10723</v>
      </c>
      <c r="Y911" t="s">
        <v>12924</v>
      </c>
      <c r="Z911" t="s">
        <v>74</v>
      </c>
      <c r="AA911" t="s">
        <v>12925</v>
      </c>
      <c r="AB911" t="s">
        <v>74</v>
      </c>
      <c r="AC911" t="s">
        <v>74</v>
      </c>
      <c r="AD911" t="s">
        <v>74</v>
      </c>
      <c r="AE911" t="s">
        <v>74</v>
      </c>
      <c r="AF911" t="s">
        <v>74</v>
      </c>
      <c r="AG911">
        <v>55</v>
      </c>
      <c r="AH911">
        <v>3</v>
      </c>
      <c r="AI911">
        <v>3</v>
      </c>
      <c r="AJ911">
        <v>1</v>
      </c>
      <c r="AK911">
        <v>13</v>
      </c>
      <c r="AL911" t="s">
        <v>929</v>
      </c>
      <c r="AM911" t="s">
        <v>930</v>
      </c>
      <c r="AN911" t="s">
        <v>931</v>
      </c>
      <c r="AO911" t="s">
        <v>12926</v>
      </c>
      <c r="AP911" t="s">
        <v>12927</v>
      </c>
      <c r="AQ911" t="s">
        <v>74</v>
      </c>
      <c r="AR911" t="s">
        <v>12918</v>
      </c>
      <c r="AS911" t="s">
        <v>12928</v>
      </c>
      <c r="AT911" t="s">
        <v>12530</v>
      </c>
      <c r="AU911">
        <v>2003</v>
      </c>
      <c r="AV911">
        <v>54</v>
      </c>
      <c r="AW911">
        <v>11</v>
      </c>
      <c r="AX911" t="s">
        <v>74</v>
      </c>
      <c r="AY911" t="s">
        <v>74</v>
      </c>
      <c r="AZ911" t="s">
        <v>74</v>
      </c>
      <c r="BA911" t="s">
        <v>74</v>
      </c>
      <c r="BB911">
        <v>1073</v>
      </c>
      <c r="BC911">
        <v>1079</v>
      </c>
      <c r="BD911" t="s">
        <v>74</v>
      </c>
      <c r="BE911" t="s">
        <v>12929</v>
      </c>
      <c r="BF911" t="str">
        <f>HYPERLINK("http://dx.doi.org/10.1007/s00105-003-0582-6","http://dx.doi.org/10.1007/s00105-003-0582-6")</f>
        <v>http://dx.doi.org/10.1007/s00105-003-0582-6</v>
      </c>
      <c r="BG911" t="s">
        <v>74</v>
      </c>
      <c r="BH911" t="s">
        <v>74</v>
      </c>
      <c r="BI911">
        <v>9</v>
      </c>
      <c r="BJ911" t="s">
        <v>12930</v>
      </c>
      <c r="BK911" t="s">
        <v>96</v>
      </c>
      <c r="BL911" t="s">
        <v>12930</v>
      </c>
      <c r="BM911" t="s">
        <v>12931</v>
      </c>
      <c r="BN911">
        <v>14593465</v>
      </c>
      <c r="BO911" t="s">
        <v>74</v>
      </c>
      <c r="BP911" t="s">
        <v>74</v>
      </c>
      <c r="BQ911" t="s">
        <v>74</v>
      </c>
      <c r="BR911" t="s">
        <v>99</v>
      </c>
      <c r="BS911" t="s">
        <v>12932</v>
      </c>
      <c r="BT911" t="str">
        <f>HYPERLINK("https%3A%2F%2Fwww.webofscience.com%2Fwos%2Fwoscc%2Ffull-record%2FWOS:000186798600007","View Full Record in Web of Science")</f>
        <v>View Full Record in Web of Science</v>
      </c>
    </row>
    <row r="912" spans="1:72" x14ac:dyDescent="0.15">
      <c r="A912" t="s">
        <v>72</v>
      </c>
      <c r="B912" t="s">
        <v>12933</v>
      </c>
      <c r="C912" t="s">
        <v>74</v>
      </c>
      <c r="D912" t="s">
        <v>74</v>
      </c>
      <c r="E912" t="s">
        <v>74</v>
      </c>
      <c r="F912" t="s">
        <v>12933</v>
      </c>
      <c r="G912" t="s">
        <v>74</v>
      </c>
      <c r="H912" t="s">
        <v>74</v>
      </c>
      <c r="I912" t="s">
        <v>12934</v>
      </c>
      <c r="J912" t="s">
        <v>12935</v>
      </c>
      <c r="K912" t="s">
        <v>74</v>
      </c>
      <c r="L912" t="s">
        <v>74</v>
      </c>
      <c r="M912" t="s">
        <v>77</v>
      </c>
      <c r="N912" t="s">
        <v>78</v>
      </c>
      <c r="O912" t="s">
        <v>74</v>
      </c>
      <c r="P912" t="s">
        <v>74</v>
      </c>
      <c r="Q912" t="s">
        <v>74</v>
      </c>
      <c r="R912" t="s">
        <v>74</v>
      </c>
      <c r="S912" t="s">
        <v>74</v>
      </c>
      <c r="T912" t="s">
        <v>12936</v>
      </c>
      <c r="U912" t="s">
        <v>12937</v>
      </c>
      <c r="V912" t="s">
        <v>12938</v>
      </c>
      <c r="W912" t="s">
        <v>12939</v>
      </c>
      <c r="X912" t="s">
        <v>12940</v>
      </c>
      <c r="Y912" t="s">
        <v>12941</v>
      </c>
      <c r="Z912" t="s">
        <v>12942</v>
      </c>
      <c r="AA912" t="s">
        <v>74</v>
      </c>
      <c r="AB912" t="s">
        <v>74</v>
      </c>
      <c r="AC912" t="s">
        <v>74</v>
      </c>
      <c r="AD912" t="s">
        <v>74</v>
      </c>
      <c r="AE912" t="s">
        <v>74</v>
      </c>
      <c r="AF912" t="s">
        <v>74</v>
      </c>
      <c r="AG912">
        <v>36</v>
      </c>
      <c r="AH912">
        <v>9</v>
      </c>
      <c r="AI912">
        <v>10</v>
      </c>
      <c r="AJ912">
        <v>0</v>
      </c>
      <c r="AK912">
        <v>9</v>
      </c>
      <c r="AL912" t="s">
        <v>12943</v>
      </c>
      <c r="AM912" t="s">
        <v>12944</v>
      </c>
      <c r="AN912" t="s">
        <v>12945</v>
      </c>
      <c r="AO912" t="s">
        <v>12946</v>
      </c>
      <c r="AP912" t="s">
        <v>12947</v>
      </c>
      <c r="AQ912" t="s">
        <v>74</v>
      </c>
      <c r="AR912" t="s">
        <v>12948</v>
      </c>
      <c r="AS912" t="s">
        <v>12949</v>
      </c>
      <c r="AT912" t="s">
        <v>12530</v>
      </c>
      <c r="AU912">
        <v>2003</v>
      </c>
      <c r="AV912">
        <v>41</v>
      </c>
      <c r="AW912">
        <v>11</v>
      </c>
      <c r="AX912">
        <v>1</v>
      </c>
      <c r="AY912" t="s">
        <v>74</v>
      </c>
      <c r="AZ912" t="s">
        <v>74</v>
      </c>
      <c r="BA912" t="s">
        <v>74</v>
      </c>
      <c r="BB912">
        <v>2595</v>
      </c>
      <c r="BC912">
        <v>2604</v>
      </c>
      <c r="BD912" t="s">
        <v>74</v>
      </c>
      <c r="BE912" t="s">
        <v>12950</v>
      </c>
      <c r="BF912" t="str">
        <f>HYPERLINK("http://dx.doi.org/10.1109/TGRS.2003.815413","http://dx.doi.org/10.1109/TGRS.2003.815413")</f>
        <v>http://dx.doi.org/10.1109/TGRS.2003.815413</v>
      </c>
      <c r="BG912" t="s">
        <v>74</v>
      </c>
      <c r="BH912" t="s">
        <v>74</v>
      </c>
      <c r="BI912">
        <v>10</v>
      </c>
      <c r="BJ912" t="s">
        <v>12951</v>
      </c>
      <c r="BK912" t="s">
        <v>96</v>
      </c>
      <c r="BL912" t="s">
        <v>12952</v>
      </c>
      <c r="BM912" t="s">
        <v>12953</v>
      </c>
      <c r="BN912" t="s">
        <v>74</v>
      </c>
      <c r="BO912" t="s">
        <v>74</v>
      </c>
      <c r="BP912" t="s">
        <v>74</v>
      </c>
      <c r="BQ912" t="s">
        <v>74</v>
      </c>
      <c r="BR912" t="s">
        <v>99</v>
      </c>
      <c r="BS912" t="s">
        <v>12954</v>
      </c>
      <c r="BT912" t="str">
        <f>HYPERLINK("https%3A%2F%2Fwww.webofscience.com%2Fwos%2Fwoscc%2Ffull-record%2FWOS:000186572100018","View Full Record in Web of Science")</f>
        <v>View Full Record in Web of Science</v>
      </c>
    </row>
    <row r="913" spans="1:72" x14ac:dyDescent="0.15">
      <c r="A913" t="s">
        <v>72</v>
      </c>
      <c r="B913" t="s">
        <v>12955</v>
      </c>
      <c r="C913" t="s">
        <v>74</v>
      </c>
      <c r="D913" t="s">
        <v>74</v>
      </c>
      <c r="E913" t="s">
        <v>74</v>
      </c>
      <c r="F913" t="s">
        <v>12955</v>
      </c>
      <c r="G913" t="s">
        <v>74</v>
      </c>
      <c r="H913" t="s">
        <v>74</v>
      </c>
      <c r="I913" t="s">
        <v>12956</v>
      </c>
      <c r="J913" t="s">
        <v>12957</v>
      </c>
      <c r="K913" t="s">
        <v>74</v>
      </c>
      <c r="L913" t="s">
        <v>74</v>
      </c>
      <c r="M913" t="s">
        <v>77</v>
      </c>
      <c r="N913" t="s">
        <v>78</v>
      </c>
      <c r="O913" t="s">
        <v>74</v>
      </c>
      <c r="P913" t="s">
        <v>74</v>
      </c>
      <c r="Q913" t="s">
        <v>74</v>
      </c>
      <c r="R913" t="s">
        <v>74</v>
      </c>
      <c r="S913" t="s">
        <v>74</v>
      </c>
      <c r="T913" t="s">
        <v>74</v>
      </c>
      <c r="U913" t="s">
        <v>74</v>
      </c>
      <c r="V913" t="s">
        <v>12958</v>
      </c>
      <c r="W913" t="s">
        <v>11809</v>
      </c>
      <c r="X913" t="s">
        <v>1808</v>
      </c>
      <c r="Y913" t="s">
        <v>12959</v>
      </c>
      <c r="Z913" t="s">
        <v>74</v>
      </c>
      <c r="AA913" t="s">
        <v>74</v>
      </c>
      <c r="AB913" t="s">
        <v>74</v>
      </c>
      <c r="AC913" t="s">
        <v>74</v>
      </c>
      <c r="AD913" t="s">
        <v>74</v>
      </c>
      <c r="AE913" t="s">
        <v>74</v>
      </c>
      <c r="AF913" t="s">
        <v>74</v>
      </c>
      <c r="AG913">
        <v>5</v>
      </c>
      <c r="AH913">
        <v>4</v>
      </c>
      <c r="AI913">
        <v>4</v>
      </c>
      <c r="AJ913">
        <v>0</v>
      </c>
      <c r="AK913">
        <v>2</v>
      </c>
      <c r="AL913" t="s">
        <v>2105</v>
      </c>
      <c r="AM913" t="s">
        <v>214</v>
      </c>
      <c r="AN913" t="s">
        <v>2106</v>
      </c>
      <c r="AO913" t="s">
        <v>12960</v>
      </c>
      <c r="AP913" t="s">
        <v>74</v>
      </c>
      <c r="AQ913" t="s">
        <v>74</v>
      </c>
      <c r="AR913" t="s">
        <v>12961</v>
      </c>
      <c r="AS913" t="s">
        <v>12962</v>
      </c>
      <c r="AT913" t="s">
        <v>12530</v>
      </c>
      <c r="AU913">
        <v>2003</v>
      </c>
      <c r="AV913">
        <v>34</v>
      </c>
      <c r="AW913">
        <v>11</v>
      </c>
      <c r="AX913" t="s">
        <v>74</v>
      </c>
      <c r="AY913" t="s">
        <v>74</v>
      </c>
      <c r="AZ913" t="s">
        <v>74</v>
      </c>
      <c r="BA913" t="s">
        <v>74</v>
      </c>
      <c r="BB913">
        <v>842</v>
      </c>
      <c r="BC913">
        <v>846</v>
      </c>
      <c r="BD913" t="s">
        <v>74</v>
      </c>
      <c r="BE913" t="s">
        <v>12963</v>
      </c>
      <c r="BF913" t="str">
        <f>HYPERLINK("http://dx.doi.org/10.1016/S0020-1383(03)00032-9","http://dx.doi.org/10.1016/S0020-1383(03)00032-9")</f>
        <v>http://dx.doi.org/10.1016/S0020-1383(03)00032-9</v>
      </c>
      <c r="BG913" t="s">
        <v>74</v>
      </c>
      <c r="BH913" t="s">
        <v>74</v>
      </c>
      <c r="BI913">
        <v>5</v>
      </c>
      <c r="BJ913" t="s">
        <v>12964</v>
      </c>
      <c r="BK913" t="s">
        <v>96</v>
      </c>
      <c r="BL913" t="s">
        <v>12965</v>
      </c>
      <c r="BM913" t="s">
        <v>12966</v>
      </c>
      <c r="BN913">
        <v>14580818</v>
      </c>
      <c r="BO913" t="s">
        <v>74</v>
      </c>
      <c r="BP913" t="s">
        <v>74</v>
      </c>
      <c r="BQ913" t="s">
        <v>74</v>
      </c>
      <c r="BR913" t="s">
        <v>99</v>
      </c>
      <c r="BS913" t="s">
        <v>12967</v>
      </c>
      <c r="BT913" t="str">
        <f>HYPERLINK("https%3A%2F%2Fwww.webofscience.com%2Fwos%2Fwoscc%2Ffull-record%2FWOS:000186673400008","View Full Record in Web of Science")</f>
        <v>View Full Record in Web of Science</v>
      </c>
    </row>
    <row r="914" spans="1:72" x14ac:dyDescent="0.15">
      <c r="A914" t="s">
        <v>72</v>
      </c>
      <c r="B914" t="s">
        <v>12968</v>
      </c>
      <c r="C914" t="s">
        <v>74</v>
      </c>
      <c r="D914" t="s">
        <v>74</v>
      </c>
      <c r="E914" t="s">
        <v>74</v>
      </c>
      <c r="F914" t="s">
        <v>12968</v>
      </c>
      <c r="G914" t="s">
        <v>74</v>
      </c>
      <c r="H914" t="s">
        <v>74</v>
      </c>
      <c r="I914" t="s">
        <v>12969</v>
      </c>
      <c r="J914" t="s">
        <v>12970</v>
      </c>
      <c r="K914" t="s">
        <v>74</v>
      </c>
      <c r="L914" t="s">
        <v>74</v>
      </c>
      <c r="M914" t="s">
        <v>77</v>
      </c>
      <c r="N914" t="s">
        <v>78</v>
      </c>
      <c r="O914" t="s">
        <v>74</v>
      </c>
      <c r="P914" t="s">
        <v>74</v>
      </c>
      <c r="Q914" t="s">
        <v>74</v>
      </c>
      <c r="R914" t="s">
        <v>74</v>
      </c>
      <c r="S914" t="s">
        <v>74</v>
      </c>
      <c r="T914" t="s">
        <v>12971</v>
      </c>
      <c r="U914" t="s">
        <v>12972</v>
      </c>
      <c r="V914" t="s">
        <v>12973</v>
      </c>
      <c r="W914" t="s">
        <v>12974</v>
      </c>
      <c r="X914" t="s">
        <v>12975</v>
      </c>
      <c r="Y914" t="s">
        <v>12976</v>
      </c>
      <c r="Z914" t="s">
        <v>12977</v>
      </c>
      <c r="AA914" t="s">
        <v>12978</v>
      </c>
      <c r="AB914" t="s">
        <v>12979</v>
      </c>
      <c r="AC914" t="s">
        <v>74</v>
      </c>
      <c r="AD914" t="s">
        <v>74</v>
      </c>
      <c r="AE914" t="s">
        <v>74</v>
      </c>
      <c r="AF914" t="s">
        <v>74</v>
      </c>
      <c r="AG914">
        <v>71</v>
      </c>
      <c r="AH914">
        <v>40</v>
      </c>
      <c r="AI914">
        <v>44</v>
      </c>
      <c r="AJ914">
        <v>0</v>
      </c>
      <c r="AK914">
        <v>30</v>
      </c>
      <c r="AL914" t="s">
        <v>177</v>
      </c>
      <c r="AM914" t="s">
        <v>178</v>
      </c>
      <c r="AN914" t="s">
        <v>179</v>
      </c>
      <c r="AO914" t="s">
        <v>12980</v>
      </c>
      <c r="AP914" t="s">
        <v>12981</v>
      </c>
      <c r="AQ914" t="s">
        <v>74</v>
      </c>
      <c r="AR914" t="s">
        <v>12982</v>
      </c>
      <c r="AS914" t="s">
        <v>12983</v>
      </c>
      <c r="AT914" t="s">
        <v>12530</v>
      </c>
      <c r="AU914">
        <v>2003</v>
      </c>
      <c r="AV914">
        <v>72</v>
      </c>
      <c r="AW914">
        <v>6</v>
      </c>
      <c r="AX914" t="s">
        <v>74</v>
      </c>
      <c r="AY914" t="s">
        <v>74</v>
      </c>
      <c r="AZ914" t="s">
        <v>74</v>
      </c>
      <c r="BA914" t="s">
        <v>74</v>
      </c>
      <c r="BB914">
        <v>979</v>
      </c>
      <c r="BC914">
        <v>993</v>
      </c>
      <c r="BD914" t="s">
        <v>74</v>
      </c>
      <c r="BE914" t="s">
        <v>12984</v>
      </c>
      <c r="BF914" t="str">
        <f>HYPERLINK("http://dx.doi.org/10.1046/j.1365-2656.2003.00761.x","http://dx.doi.org/10.1046/j.1365-2656.2003.00761.x")</f>
        <v>http://dx.doi.org/10.1046/j.1365-2656.2003.00761.x</v>
      </c>
      <c r="BG914" t="s">
        <v>74</v>
      </c>
      <c r="BH914" t="s">
        <v>74</v>
      </c>
      <c r="BI914">
        <v>15</v>
      </c>
      <c r="BJ914" t="s">
        <v>10491</v>
      </c>
      <c r="BK914" t="s">
        <v>96</v>
      </c>
      <c r="BL914" t="s">
        <v>10492</v>
      </c>
      <c r="BM914" t="s">
        <v>12985</v>
      </c>
      <c r="BN914" t="s">
        <v>74</v>
      </c>
      <c r="BO914" t="s">
        <v>74</v>
      </c>
      <c r="BP914" t="s">
        <v>74</v>
      </c>
      <c r="BQ914" t="s">
        <v>74</v>
      </c>
      <c r="BR914" t="s">
        <v>99</v>
      </c>
      <c r="BS914" t="s">
        <v>12986</v>
      </c>
      <c r="BT914" t="str">
        <f>HYPERLINK("https%3A%2F%2Fwww.webofscience.com%2Fwos%2Fwoscc%2Ffull-record%2FWOS:000186432900008","View Full Record in Web of Science")</f>
        <v>View Full Record in Web of Science</v>
      </c>
    </row>
    <row r="915" spans="1:72" x14ac:dyDescent="0.15">
      <c r="A915" t="s">
        <v>72</v>
      </c>
      <c r="B915" t="s">
        <v>5945</v>
      </c>
      <c r="C915" t="s">
        <v>74</v>
      </c>
      <c r="D915" t="s">
        <v>74</v>
      </c>
      <c r="E915" t="s">
        <v>74</v>
      </c>
      <c r="F915" t="s">
        <v>5945</v>
      </c>
      <c r="G915" t="s">
        <v>74</v>
      </c>
      <c r="H915" t="s">
        <v>74</v>
      </c>
      <c r="I915" t="s">
        <v>12987</v>
      </c>
      <c r="J915" t="s">
        <v>1558</v>
      </c>
      <c r="K915" t="s">
        <v>74</v>
      </c>
      <c r="L915" t="s">
        <v>74</v>
      </c>
      <c r="M915" t="s">
        <v>77</v>
      </c>
      <c r="N915" t="s">
        <v>78</v>
      </c>
      <c r="O915" t="s">
        <v>74</v>
      </c>
      <c r="P915" t="s">
        <v>74</v>
      </c>
      <c r="Q915" t="s">
        <v>74</v>
      </c>
      <c r="R915" t="s">
        <v>74</v>
      </c>
      <c r="S915" t="s">
        <v>74</v>
      </c>
      <c r="T915" t="s">
        <v>74</v>
      </c>
      <c r="U915" t="s">
        <v>12988</v>
      </c>
      <c r="V915" t="s">
        <v>12989</v>
      </c>
      <c r="W915" t="s">
        <v>923</v>
      </c>
      <c r="X915" t="s">
        <v>924</v>
      </c>
      <c r="Y915" t="s">
        <v>12990</v>
      </c>
      <c r="Z915" t="s">
        <v>12991</v>
      </c>
      <c r="AA915" t="s">
        <v>12992</v>
      </c>
      <c r="AB915" t="s">
        <v>12993</v>
      </c>
      <c r="AC915" t="s">
        <v>74</v>
      </c>
      <c r="AD915" t="s">
        <v>74</v>
      </c>
      <c r="AE915" t="s">
        <v>74</v>
      </c>
      <c r="AF915" t="s">
        <v>74</v>
      </c>
      <c r="AG915">
        <v>52</v>
      </c>
      <c r="AH915">
        <v>63</v>
      </c>
      <c r="AI915">
        <v>68</v>
      </c>
      <c r="AJ915">
        <v>0</v>
      </c>
      <c r="AK915">
        <v>11</v>
      </c>
      <c r="AL915" t="s">
        <v>297</v>
      </c>
      <c r="AM915" t="s">
        <v>298</v>
      </c>
      <c r="AN915" t="s">
        <v>299</v>
      </c>
      <c r="AO915" t="s">
        <v>1568</v>
      </c>
      <c r="AP915" t="s">
        <v>1569</v>
      </c>
      <c r="AQ915" t="s">
        <v>74</v>
      </c>
      <c r="AR915" t="s">
        <v>1570</v>
      </c>
      <c r="AS915" t="s">
        <v>1571</v>
      </c>
      <c r="AT915" t="s">
        <v>12888</v>
      </c>
      <c r="AU915">
        <v>2003</v>
      </c>
      <c r="AV915">
        <v>16</v>
      </c>
      <c r="AW915">
        <v>21</v>
      </c>
      <c r="AX915" t="s">
        <v>74</v>
      </c>
      <c r="AY915" t="s">
        <v>74</v>
      </c>
      <c r="AZ915" t="s">
        <v>74</v>
      </c>
      <c r="BA915" t="s">
        <v>74</v>
      </c>
      <c r="BB915">
        <v>3511</v>
      </c>
      <c r="BC915">
        <v>3524</v>
      </c>
      <c r="BD915" t="s">
        <v>74</v>
      </c>
      <c r="BE915" t="s">
        <v>12994</v>
      </c>
      <c r="BF915" t="str">
        <f>HYPERLINK("http://dx.doi.org/10.1175/1520-0442(2003)016&lt;3511:IATEOT&gt;2.0.CO;2","http://dx.doi.org/10.1175/1520-0442(2003)016&lt;3511:IATEOT&gt;2.0.CO;2")</f>
        <v>http://dx.doi.org/10.1175/1520-0442(2003)016&lt;3511:IATEOT&gt;2.0.CO;2</v>
      </c>
      <c r="BG915" t="s">
        <v>74</v>
      </c>
      <c r="BH915" t="s">
        <v>74</v>
      </c>
      <c r="BI915">
        <v>14</v>
      </c>
      <c r="BJ915" t="s">
        <v>186</v>
      </c>
      <c r="BK915" t="s">
        <v>96</v>
      </c>
      <c r="BL915" t="s">
        <v>186</v>
      </c>
      <c r="BM915" t="s">
        <v>12995</v>
      </c>
      <c r="BN915" t="s">
        <v>74</v>
      </c>
      <c r="BO915" t="s">
        <v>306</v>
      </c>
      <c r="BP915" t="s">
        <v>74</v>
      </c>
      <c r="BQ915" t="s">
        <v>74</v>
      </c>
      <c r="BR915" t="s">
        <v>99</v>
      </c>
      <c r="BS915" t="s">
        <v>12996</v>
      </c>
      <c r="BT915" t="str">
        <f>HYPERLINK("https%3A%2F%2Fwww.webofscience.com%2Fwos%2Fwoscc%2Ffull-record%2FWOS:000186081800009","View Full Record in Web of Science")</f>
        <v>View Full Record in Web of Science</v>
      </c>
    </row>
    <row r="916" spans="1:72" x14ac:dyDescent="0.15">
      <c r="A916" t="s">
        <v>72</v>
      </c>
      <c r="B916" t="s">
        <v>12997</v>
      </c>
      <c r="C916" t="s">
        <v>74</v>
      </c>
      <c r="D916" t="s">
        <v>74</v>
      </c>
      <c r="E916" t="s">
        <v>74</v>
      </c>
      <c r="F916" t="s">
        <v>12997</v>
      </c>
      <c r="G916" t="s">
        <v>74</v>
      </c>
      <c r="H916" t="s">
        <v>74</v>
      </c>
      <c r="I916" t="s">
        <v>12998</v>
      </c>
      <c r="J916" t="s">
        <v>12999</v>
      </c>
      <c r="K916" t="s">
        <v>74</v>
      </c>
      <c r="L916" t="s">
        <v>74</v>
      </c>
      <c r="M916" t="s">
        <v>77</v>
      </c>
      <c r="N916" t="s">
        <v>268</v>
      </c>
      <c r="O916" t="s">
        <v>74</v>
      </c>
      <c r="P916" t="s">
        <v>74</v>
      </c>
      <c r="Q916" t="s">
        <v>74</v>
      </c>
      <c r="R916" t="s">
        <v>74</v>
      </c>
      <c r="S916" t="s">
        <v>74</v>
      </c>
      <c r="T916" t="s">
        <v>13000</v>
      </c>
      <c r="U916" t="s">
        <v>13001</v>
      </c>
      <c r="V916" t="s">
        <v>13002</v>
      </c>
      <c r="W916" t="s">
        <v>13003</v>
      </c>
      <c r="X916" t="s">
        <v>13004</v>
      </c>
      <c r="Y916" t="s">
        <v>13005</v>
      </c>
      <c r="Z916" t="s">
        <v>74</v>
      </c>
      <c r="AA916" t="s">
        <v>74</v>
      </c>
      <c r="AB916" t="s">
        <v>9063</v>
      </c>
      <c r="AC916" t="s">
        <v>74</v>
      </c>
      <c r="AD916" t="s">
        <v>74</v>
      </c>
      <c r="AE916" t="s">
        <v>74</v>
      </c>
      <c r="AF916" t="s">
        <v>74</v>
      </c>
      <c r="AG916">
        <v>68</v>
      </c>
      <c r="AH916">
        <v>83</v>
      </c>
      <c r="AI916">
        <v>99</v>
      </c>
      <c r="AJ916">
        <v>1</v>
      </c>
      <c r="AK916">
        <v>54</v>
      </c>
      <c r="AL916" t="s">
        <v>123</v>
      </c>
      <c r="AM916" t="s">
        <v>87</v>
      </c>
      <c r="AN916" t="s">
        <v>124</v>
      </c>
      <c r="AO916" t="s">
        <v>13006</v>
      </c>
      <c r="AP916" t="s">
        <v>74</v>
      </c>
      <c r="AQ916" t="s">
        <v>74</v>
      </c>
      <c r="AR916" t="s">
        <v>13007</v>
      </c>
      <c r="AS916" t="s">
        <v>13008</v>
      </c>
      <c r="AT916" t="s">
        <v>12530</v>
      </c>
      <c r="AU916">
        <v>2003</v>
      </c>
      <c r="AV916">
        <v>173</v>
      </c>
      <c r="AW916">
        <v>8</v>
      </c>
      <c r="AX916" t="s">
        <v>74</v>
      </c>
      <c r="AY916" t="s">
        <v>74</v>
      </c>
      <c r="AZ916" t="s">
        <v>74</v>
      </c>
      <c r="BA916" t="s">
        <v>74</v>
      </c>
      <c r="BB916">
        <v>621</v>
      </c>
      <c r="BC916">
        <v>628</v>
      </c>
      <c r="BD916" t="s">
        <v>74</v>
      </c>
      <c r="BE916" t="s">
        <v>13009</v>
      </c>
      <c r="BF916" t="str">
        <f>HYPERLINK("http://dx.doi.org/10.1007/s00360-003-0378-0","http://dx.doi.org/10.1007/s00360-003-0378-0")</f>
        <v>http://dx.doi.org/10.1007/s00360-003-0378-0</v>
      </c>
      <c r="BG916" t="s">
        <v>74</v>
      </c>
      <c r="BH916" t="s">
        <v>74</v>
      </c>
      <c r="BI916">
        <v>8</v>
      </c>
      <c r="BJ916" t="s">
        <v>13010</v>
      </c>
      <c r="BK916" t="s">
        <v>96</v>
      </c>
      <c r="BL916" t="s">
        <v>13010</v>
      </c>
      <c r="BM916" t="s">
        <v>13011</v>
      </c>
      <c r="BN916">
        <v>14615899</v>
      </c>
      <c r="BO916" t="s">
        <v>74</v>
      </c>
      <c r="BP916" t="s">
        <v>74</v>
      </c>
      <c r="BQ916" t="s">
        <v>74</v>
      </c>
      <c r="BR916" t="s">
        <v>99</v>
      </c>
      <c r="BS916" t="s">
        <v>13012</v>
      </c>
      <c r="BT916" t="str">
        <f>HYPERLINK("https%3A%2F%2Fwww.webofscience.com%2Fwos%2Fwoscc%2Ffull-record%2FWOS:000187146800001","View Full Record in Web of Science")</f>
        <v>View Full Record in Web of Science</v>
      </c>
    </row>
    <row r="917" spans="1:72" x14ac:dyDescent="0.15">
      <c r="A917" t="s">
        <v>72</v>
      </c>
      <c r="B917" t="s">
        <v>13013</v>
      </c>
      <c r="C917" t="s">
        <v>74</v>
      </c>
      <c r="D917" t="s">
        <v>74</v>
      </c>
      <c r="E917" t="s">
        <v>74</v>
      </c>
      <c r="F917" t="s">
        <v>13013</v>
      </c>
      <c r="G917" t="s">
        <v>74</v>
      </c>
      <c r="H917" t="s">
        <v>74</v>
      </c>
      <c r="I917" t="s">
        <v>13014</v>
      </c>
      <c r="J917" t="s">
        <v>1650</v>
      </c>
      <c r="K917" t="s">
        <v>74</v>
      </c>
      <c r="L917" t="s">
        <v>74</v>
      </c>
      <c r="M917" t="s">
        <v>77</v>
      </c>
      <c r="N917" t="s">
        <v>78</v>
      </c>
      <c r="O917" t="s">
        <v>74</v>
      </c>
      <c r="P917" t="s">
        <v>74</v>
      </c>
      <c r="Q917" t="s">
        <v>74</v>
      </c>
      <c r="R917" t="s">
        <v>74</v>
      </c>
      <c r="S917" t="s">
        <v>74</v>
      </c>
      <c r="T917" t="s">
        <v>13015</v>
      </c>
      <c r="U917" t="s">
        <v>13016</v>
      </c>
      <c r="V917" t="s">
        <v>13017</v>
      </c>
      <c r="W917" t="s">
        <v>1965</v>
      </c>
      <c r="X917" t="s">
        <v>1966</v>
      </c>
      <c r="Y917" t="s">
        <v>74</v>
      </c>
      <c r="Z917" t="s">
        <v>13018</v>
      </c>
      <c r="AA917" t="s">
        <v>13019</v>
      </c>
      <c r="AB917" t="s">
        <v>13020</v>
      </c>
      <c r="AC917" t="s">
        <v>74</v>
      </c>
      <c r="AD917" t="s">
        <v>74</v>
      </c>
      <c r="AE917" t="s">
        <v>74</v>
      </c>
      <c r="AF917" t="s">
        <v>74</v>
      </c>
      <c r="AG917">
        <v>45</v>
      </c>
      <c r="AH917">
        <v>71</v>
      </c>
      <c r="AI917">
        <v>78</v>
      </c>
      <c r="AJ917">
        <v>1</v>
      </c>
      <c r="AK917">
        <v>16</v>
      </c>
      <c r="AL917" t="s">
        <v>1660</v>
      </c>
      <c r="AM917" t="s">
        <v>824</v>
      </c>
      <c r="AN917" t="s">
        <v>1661</v>
      </c>
      <c r="AO917" t="s">
        <v>1662</v>
      </c>
      <c r="AP917" t="s">
        <v>1663</v>
      </c>
      <c r="AQ917" t="s">
        <v>74</v>
      </c>
      <c r="AR917" t="s">
        <v>1664</v>
      </c>
      <c r="AS917" t="s">
        <v>1665</v>
      </c>
      <c r="AT917" t="s">
        <v>12530</v>
      </c>
      <c r="AU917">
        <v>2003</v>
      </c>
      <c r="AV917">
        <v>206</v>
      </c>
      <c r="AW917">
        <v>22</v>
      </c>
      <c r="AX917" t="s">
        <v>74</v>
      </c>
      <c r="AY917" t="s">
        <v>74</v>
      </c>
      <c r="AZ917" t="s">
        <v>74</v>
      </c>
      <c r="BA917" t="s">
        <v>74</v>
      </c>
      <c r="BB917">
        <v>3895</v>
      </c>
      <c r="BC917">
        <v>3903</v>
      </c>
      <c r="BD917" t="s">
        <v>74</v>
      </c>
      <c r="BE917" t="s">
        <v>13021</v>
      </c>
      <c r="BF917" t="str">
        <f>HYPERLINK("http://dx.doi.org/10.1242/jeb.00620","http://dx.doi.org/10.1242/jeb.00620")</f>
        <v>http://dx.doi.org/10.1242/jeb.00620</v>
      </c>
      <c r="BG917" t="s">
        <v>74</v>
      </c>
      <c r="BH917" t="s">
        <v>74</v>
      </c>
      <c r="BI917">
        <v>9</v>
      </c>
      <c r="BJ917" t="s">
        <v>1667</v>
      </c>
      <c r="BK917" t="s">
        <v>96</v>
      </c>
      <c r="BL917" t="s">
        <v>1668</v>
      </c>
      <c r="BM917" t="s">
        <v>13022</v>
      </c>
      <c r="BN917">
        <v>14555731</v>
      </c>
      <c r="BO917" t="s">
        <v>1752</v>
      </c>
      <c r="BP917" t="s">
        <v>74</v>
      </c>
      <c r="BQ917" t="s">
        <v>74</v>
      </c>
      <c r="BR917" t="s">
        <v>99</v>
      </c>
      <c r="BS917" t="s">
        <v>13023</v>
      </c>
      <c r="BT917" t="str">
        <f>HYPERLINK("https%3A%2F%2Fwww.webofscience.com%2Fwos%2Fwoscc%2Ffull-record%2FWOS:000187393800009","View Full Record in Web of Science")</f>
        <v>View Full Record in Web of Science</v>
      </c>
    </row>
    <row r="918" spans="1:72" x14ac:dyDescent="0.15">
      <c r="A918" t="s">
        <v>72</v>
      </c>
      <c r="B918" t="s">
        <v>13024</v>
      </c>
      <c r="C918" t="s">
        <v>74</v>
      </c>
      <c r="D918" t="s">
        <v>74</v>
      </c>
      <c r="E918" t="s">
        <v>74</v>
      </c>
      <c r="F918" t="s">
        <v>13024</v>
      </c>
      <c r="G918" t="s">
        <v>74</v>
      </c>
      <c r="H918" t="s">
        <v>74</v>
      </c>
      <c r="I918" t="s">
        <v>13025</v>
      </c>
      <c r="J918" t="s">
        <v>3080</v>
      </c>
      <c r="K918" t="s">
        <v>74</v>
      </c>
      <c r="L918" t="s">
        <v>74</v>
      </c>
      <c r="M918" t="s">
        <v>77</v>
      </c>
      <c r="N918" t="s">
        <v>78</v>
      </c>
      <c r="O918" t="s">
        <v>74</v>
      </c>
      <c r="P918" t="s">
        <v>74</v>
      </c>
      <c r="Q918" t="s">
        <v>74</v>
      </c>
      <c r="R918" t="s">
        <v>74</v>
      </c>
      <c r="S918" t="s">
        <v>74</v>
      </c>
      <c r="T918" t="s">
        <v>13026</v>
      </c>
      <c r="U918" t="s">
        <v>13027</v>
      </c>
      <c r="V918" t="s">
        <v>13028</v>
      </c>
      <c r="W918" t="s">
        <v>13029</v>
      </c>
      <c r="X918" t="s">
        <v>13030</v>
      </c>
      <c r="Y918" t="s">
        <v>1656</v>
      </c>
      <c r="Z918" t="s">
        <v>1657</v>
      </c>
      <c r="AA918" t="s">
        <v>13031</v>
      </c>
      <c r="AB918" t="s">
        <v>13032</v>
      </c>
      <c r="AC918" t="s">
        <v>74</v>
      </c>
      <c r="AD918" t="s">
        <v>74</v>
      </c>
      <c r="AE918" t="s">
        <v>74</v>
      </c>
      <c r="AF918" t="s">
        <v>74</v>
      </c>
      <c r="AG918">
        <v>66</v>
      </c>
      <c r="AH918">
        <v>69</v>
      </c>
      <c r="AI918">
        <v>75</v>
      </c>
      <c r="AJ918">
        <v>1</v>
      </c>
      <c r="AK918">
        <v>19</v>
      </c>
      <c r="AL918" t="s">
        <v>213</v>
      </c>
      <c r="AM918" t="s">
        <v>214</v>
      </c>
      <c r="AN918" t="s">
        <v>215</v>
      </c>
      <c r="AO918" t="s">
        <v>3089</v>
      </c>
      <c r="AP918" t="s">
        <v>3090</v>
      </c>
      <c r="AQ918" t="s">
        <v>74</v>
      </c>
      <c r="AR918" t="s">
        <v>3091</v>
      </c>
      <c r="AS918" t="s">
        <v>3092</v>
      </c>
      <c r="AT918" t="s">
        <v>12530</v>
      </c>
      <c r="AU918">
        <v>2003</v>
      </c>
      <c r="AV918">
        <v>49</v>
      </c>
      <c r="AW918">
        <v>11</v>
      </c>
      <c r="AX918" t="s">
        <v>74</v>
      </c>
      <c r="AY918" t="s">
        <v>74</v>
      </c>
      <c r="AZ918" t="s">
        <v>74</v>
      </c>
      <c r="BA918" t="s">
        <v>74</v>
      </c>
      <c r="BB918">
        <v>1049</v>
      </c>
      <c r="BC918">
        <v>1061</v>
      </c>
      <c r="BD918" t="s">
        <v>74</v>
      </c>
      <c r="BE918" t="s">
        <v>13033</v>
      </c>
      <c r="BF918" t="str">
        <f>HYPERLINK("http://dx.doi.org/10.1016/j.jinsphys.2003.08.002","http://dx.doi.org/10.1016/j.jinsphys.2003.08.002")</f>
        <v>http://dx.doi.org/10.1016/j.jinsphys.2003.08.002</v>
      </c>
      <c r="BG918" t="s">
        <v>74</v>
      </c>
      <c r="BH918" t="s">
        <v>74</v>
      </c>
      <c r="BI918">
        <v>13</v>
      </c>
      <c r="BJ918" t="s">
        <v>3096</v>
      </c>
      <c r="BK918" t="s">
        <v>96</v>
      </c>
      <c r="BL918" t="s">
        <v>3096</v>
      </c>
      <c r="BM918" t="s">
        <v>13034</v>
      </c>
      <c r="BN918">
        <v>14568583</v>
      </c>
      <c r="BO918" t="s">
        <v>74</v>
      </c>
      <c r="BP918" t="s">
        <v>74</v>
      </c>
      <c r="BQ918" t="s">
        <v>74</v>
      </c>
      <c r="BR918" t="s">
        <v>99</v>
      </c>
      <c r="BS918" t="s">
        <v>13035</v>
      </c>
      <c r="BT918" t="str">
        <f>HYPERLINK("https%3A%2F%2Fwww.webofscience.com%2Fwos%2Fwoscc%2Ffull-record%2FWOS:000186350800009","View Full Record in Web of Science")</f>
        <v>View Full Record in Web of Science</v>
      </c>
    </row>
    <row r="919" spans="1:72" x14ac:dyDescent="0.15">
      <c r="A919" t="s">
        <v>72</v>
      </c>
      <c r="B919" t="s">
        <v>13036</v>
      </c>
      <c r="C919" t="s">
        <v>74</v>
      </c>
      <c r="D919" t="s">
        <v>74</v>
      </c>
      <c r="E919" t="s">
        <v>74</v>
      </c>
      <c r="F919" t="s">
        <v>13036</v>
      </c>
      <c r="G919" t="s">
        <v>74</v>
      </c>
      <c r="H919" t="s">
        <v>74</v>
      </c>
      <c r="I919" t="s">
        <v>13037</v>
      </c>
      <c r="J919" t="s">
        <v>13038</v>
      </c>
      <c r="K919" t="s">
        <v>74</v>
      </c>
      <c r="L919" t="s">
        <v>74</v>
      </c>
      <c r="M919" t="s">
        <v>77</v>
      </c>
      <c r="N919" t="s">
        <v>78</v>
      </c>
      <c r="O919" t="s">
        <v>74</v>
      </c>
      <c r="P919" t="s">
        <v>74</v>
      </c>
      <c r="Q919" t="s">
        <v>74</v>
      </c>
      <c r="R919" t="s">
        <v>74</v>
      </c>
      <c r="S919" t="s">
        <v>74</v>
      </c>
      <c r="T919" t="s">
        <v>74</v>
      </c>
      <c r="U919" t="s">
        <v>13039</v>
      </c>
      <c r="V919" t="s">
        <v>13040</v>
      </c>
      <c r="W919" t="s">
        <v>13041</v>
      </c>
      <c r="X919" t="s">
        <v>8474</v>
      </c>
      <c r="Y919" t="s">
        <v>13042</v>
      </c>
      <c r="Z919" t="s">
        <v>13043</v>
      </c>
      <c r="AA919" t="s">
        <v>13044</v>
      </c>
      <c r="AB919" t="s">
        <v>13045</v>
      </c>
      <c r="AC919" t="s">
        <v>74</v>
      </c>
      <c r="AD919" t="s">
        <v>74</v>
      </c>
      <c r="AE919" t="s">
        <v>74</v>
      </c>
      <c r="AF919" t="s">
        <v>74</v>
      </c>
      <c r="AG919">
        <v>13</v>
      </c>
      <c r="AH919">
        <v>4</v>
      </c>
      <c r="AI919">
        <v>4</v>
      </c>
      <c r="AJ919">
        <v>0</v>
      </c>
      <c r="AK919">
        <v>1</v>
      </c>
      <c r="AL919" t="s">
        <v>13046</v>
      </c>
      <c r="AM919" t="s">
        <v>13047</v>
      </c>
      <c r="AN919" t="s">
        <v>13048</v>
      </c>
      <c r="AO919" t="s">
        <v>13049</v>
      </c>
      <c r="AP919" t="s">
        <v>74</v>
      </c>
      <c r="AQ919" t="s">
        <v>74</v>
      </c>
      <c r="AR919" t="s">
        <v>13050</v>
      </c>
      <c r="AS919" t="s">
        <v>13051</v>
      </c>
      <c r="AT919" t="s">
        <v>12530</v>
      </c>
      <c r="AU919">
        <v>2003</v>
      </c>
      <c r="AV919">
        <v>61</v>
      </c>
      <c r="AW919">
        <v>6</v>
      </c>
      <c r="AX919" t="s">
        <v>74</v>
      </c>
      <c r="AY919" t="s">
        <v>74</v>
      </c>
      <c r="AZ919" t="s">
        <v>74</v>
      </c>
      <c r="BA919" t="s">
        <v>74</v>
      </c>
      <c r="BB919">
        <v>745</v>
      </c>
      <c r="BC919">
        <v>764</v>
      </c>
      <c r="BD919" t="s">
        <v>74</v>
      </c>
      <c r="BE919" t="s">
        <v>13052</v>
      </c>
      <c r="BF919" t="str">
        <f>HYPERLINK("http://dx.doi.org/10.1357/002224003322981138","http://dx.doi.org/10.1357/002224003322981138")</f>
        <v>http://dx.doi.org/10.1357/002224003322981138</v>
      </c>
      <c r="BG919" t="s">
        <v>74</v>
      </c>
      <c r="BH919" t="s">
        <v>74</v>
      </c>
      <c r="BI919">
        <v>20</v>
      </c>
      <c r="BJ919" t="s">
        <v>477</v>
      </c>
      <c r="BK919" t="s">
        <v>96</v>
      </c>
      <c r="BL919" t="s">
        <v>477</v>
      </c>
      <c r="BM919" t="s">
        <v>13053</v>
      </c>
      <c r="BN919" t="s">
        <v>74</v>
      </c>
      <c r="BO919" t="s">
        <v>74</v>
      </c>
      <c r="BP919" t="s">
        <v>74</v>
      </c>
      <c r="BQ919" t="s">
        <v>74</v>
      </c>
      <c r="BR919" t="s">
        <v>99</v>
      </c>
      <c r="BS919" t="s">
        <v>13054</v>
      </c>
      <c r="BT919" t="str">
        <f>HYPERLINK("https%3A%2F%2Fwww.webofscience.com%2Fwos%2Fwoscc%2Ffull-record%2FWOS:000220570800003","View Full Record in Web of Science")</f>
        <v>View Full Record in Web of Science</v>
      </c>
    </row>
    <row r="920" spans="1:72" x14ac:dyDescent="0.15">
      <c r="A920" t="s">
        <v>72</v>
      </c>
      <c r="B920" t="s">
        <v>13055</v>
      </c>
      <c r="C920" t="s">
        <v>74</v>
      </c>
      <c r="D920" t="s">
        <v>74</v>
      </c>
      <c r="E920" t="s">
        <v>74</v>
      </c>
      <c r="F920" t="s">
        <v>13055</v>
      </c>
      <c r="G920" t="s">
        <v>74</v>
      </c>
      <c r="H920" t="s">
        <v>74</v>
      </c>
      <c r="I920" t="s">
        <v>13056</v>
      </c>
      <c r="J920" t="s">
        <v>13057</v>
      </c>
      <c r="K920" t="s">
        <v>74</v>
      </c>
      <c r="L920" t="s">
        <v>74</v>
      </c>
      <c r="M920" t="s">
        <v>77</v>
      </c>
      <c r="N920" t="s">
        <v>78</v>
      </c>
      <c r="O920" t="s">
        <v>74</v>
      </c>
      <c r="P920" t="s">
        <v>74</v>
      </c>
      <c r="Q920" t="s">
        <v>74</v>
      </c>
      <c r="R920" t="s">
        <v>74</v>
      </c>
      <c r="S920" t="s">
        <v>74</v>
      </c>
      <c r="T920" t="s">
        <v>13058</v>
      </c>
      <c r="U920" t="s">
        <v>13059</v>
      </c>
      <c r="V920" t="s">
        <v>13060</v>
      </c>
      <c r="W920" t="s">
        <v>13061</v>
      </c>
      <c r="X920" t="s">
        <v>13062</v>
      </c>
      <c r="Y920" t="s">
        <v>13063</v>
      </c>
      <c r="Z920" t="s">
        <v>74</v>
      </c>
      <c r="AA920" t="s">
        <v>74</v>
      </c>
      <c r="AB920" t="s">
        <v>13064</v>
      </c>
      <c r="AC920" t="s">
        <v>74</v>
      </c>
      <c r="AD920" t="s">
        <v>74</v>
      </c>
      <c r="AE920" t="s">
        <v>74</v>
      </c>
      <c r="AF920" t="s">
        <v>74</v>
      </c>
      <c r="AG920">
        <v>9</v>
      </c>
      <c r="AH920">
        <v>21</v>
      </c>
      <c r="AI920">
        <v>23</v>
      </c>
      <c r="AJ920">
        <v>0</v>
      </c>
      <c r="AK920">
        <v>8</v>
      </c>
      <c r="AL920" t="s">
        <v>13065</v>
      </c>
      <c r="AM920" t="s">
        <v>13066</v>
      </c>
      <c r="AN920" t="s">
        <v>13067</v>
      </c>
      <c r="AO920" t="s">
        <v>13068</v>
      </c>
      <c r="AP920" t="s">
        <v>74</v>
      </c>
      <c r="AQ920" t="s">
        <v>74</v>
      </c>
      <c r="AR920" t="s">
        <v>13069</v>
      </c>
      <c r="AS920" t="s">
        <v>13070</v>
      </c>
      <c r="AT920" t="s">
        <v>12530</v>
      </c>
      <c r="AU920">
        <v>2003</v>
      </c>
      <c r="AV920">
        <v>40</v>
      </c>
      <c r="AW920">
        <v>6</v>
      </c>
      <c r="AX920" t="s">
        <v>74</v>
      </c>
      <c r="AY920" t="s">
        <v>74</v>
      </c>
      <c r="AZ920" t="s">
        <v>74</v>
      </c>
      <c r="BA920" t="s">
        <v>74</v>
      </c>
      <c r="BB920">
        <v>766</v>
      </c>
      <c r="BC920">
        <v>769</v>
      </c>
      <c r="BD920" t="s">
        <v>74</v>
      </c>
      <c r="BE920" t="s">
        <v>13071</v>
      </c>
      <c r="BF920" t="str">
        <f>HYPERLINK("http://dx.doi.org/10.1603/0022-2585-40.6.766","http://dx.doi.org/10.1603/0022-2585-40.6.766")</f>
        <v>http://dx.doi.org/10.1603/0022-2585-40.6.766</v>
      </c>
      <c r="BG920" t="s">
        <v>74</v>
      </c>
      <c r="BH920" t="s">
        <v>74</v>
      </c>
      <c r="BI920">
        <v>4</v>
      </c>
      <c r="BJ920" t="s">
        <v>13072</v>
      </c>
      <c r="BK920" t="s">
        <v>96</v>
      </c>
      <c r="BL920" t="s">
        <v>13072</v>
      </c>
      <c r="BM920" t="s">
        <v>13073</v>
      </c>
      <c r="BN920">
        <v>14765651</v>
      </c>
      <c r="BO920" t="s">
        <v>74</v>
      </c>
      <c r="BP920" t="s">
        <v>74</v>
      </c>
      <c r="BQ920" t="s">
        <v>74</v>
      </c>
      <c r="BR920" t="s">
        <v>99</v>
      </c>
      <c r="BS920" t="s">
        <v>13074</v>
      </c>
      <c r="BT920" t="str">
        <f>HYPERLINK("https%3A%2F%2Fwww.webofscience.com%2Fwos%2Fwoscc%2Ffull-record%2FWOS:000188185400006","View Full Record in Web of Science")</f>
        <v>View Full Record in Web of Science</v>
      </c>
    </row>
    <row r="921" spans="1:72" x14ac:dyDescent="0.15">
      <c r="A921" t="s">
        <v>72</v>
      </c>
      <c r="B921" t="s">
        <v>13075</v>
      </c>
      <c r="C921" t="s">
        <v>74</v>
      </c>
      <c r="D921" t="s">
        <v>74</v>
      </c>
      <c r="E921" t="s">
        <v>74</v>
      </c>
      <c r="F921" t="s">
        <v>13075</v>
      </c>
      <c r="G921" t="s">
        <v>74</v>
      </c>
      <c r="H921" t="s">
        <v>74</v>
      </c>
      <c r="I921" t="s">
        <v>13076</v>
      </c>
      <c r="J921" t="s">
        <v>13077</v>
      </c>
      <c r="K921" t="s">
        <v>74</v>
      </c>
      <c r="L921" t="s">
        <v>74</v>
      </c>
      <c r="M921" t="s">
        <v>77</v>
      </c>
      <c r="N921" t="s">
        <v>78</v>
      </c>
      <c r="O921" t="s">
        <v>74</v>
      </c>
      <c r="P921" t="s">
        <v>74</v>
      </c>
      <c r="Q921" t="s">
        <v>74</v>
      </c>
      <c r="R921" t="s">
        <v>74</v>
      </c>
      <c r="S921" t="s">
        <v>74</v>
      </c>
      <c r="T921" t="s">
        <v>13078</v>
      </c>
      <c r="U921" t="s">
        <v>13079</v>
      </c>
      <c r="V921" t="s">
        <v>13080</v>
      </c>
      <c r="W921" t="s">
        <v>13081</v>
      </c>
      <c r="X921" t="s">
        <v>13082</v>
      </c>
      <c r="Y921" t="s">
        <v>13083</v>
      </c>
      <c r="Z921" t="s">
        <v>13084</v>
      </c>
      <c r="AA921" t="s">
        <v>13085</v>
      </c>
      <c r="AB921" t="s">
        <v>13086</v>
      </c>
      <c r="AC921" t="s">
        <v>13087</v>
      </c>
      <c r="AD921" t="s">
        <v>13088</v>
      </c>
      <c r="AE921" t="s">
        <v>74</v>
      </c>
      <c r="AF921" t="s">
        <v>74</v>
      </c>
      <c r="AG921">
        <v>94</v>
      </c>
      <c r="AH921">
        <v>28</v>
      </c>
      <c r="AI921">
        <v>29</v>
      </c>
      <c r="AJ921">
        <v>1</v>
      </c>
      <c r="AK921">
        <v>8</v>
      </c>
      <c r="AL921" t="s">
        <v>198</v>
      </c>
      <c r="AM921" t="s">
        <v>178</v>
      </c>
      <c r="AN921" t="s">
        <v>179</v>
      </c>
      <c r="AO921" t="s">
        <v>13089</v>
      </c>
      <c r="AP921" t="s">
        <v>13090</v>
      </c>
      <c r="AQ921" t="s">
        <v>74</v>
      </c>
      <c r="AR921" t="s">
        <v>13091</v>
      </c>
      <c r="AS921" t="s">
        <v>13092</v>
      </c>
      <c r="AT921" t="s">
        <v>12530</v>
      </c>
      <c r="AU921">
        <v>2003</v>
      </c>
      <c r="AV921">
        <v>258</v>
      </c>
      <c r="AW921">
        <v>2</v>
      </c>
      <c r="AX921" t="s">
        <v>74</v>
      </c>
      <c r="AY921" t="s">
        <v>74</v>
      </c>
      <c r="AZ921" t="s">
        <v>74</v>
      </c>
      <c r="BA921" t="s">
        <v>74</v>
      </c>
      <c r="BB921">
        <v>130</v>
      </c>
      <c r="BC921">
        <v>150</v>
      </c>
      <c r="BD921" t="s">
        <v>74</v>
      </c>
      <c r="BE921" t="s">
        <v>13093</v>
      </c>
      <c r="BF921" t="str">
        <f>HYPERLINK("http://dx.doi.org/10.1002/jmor.10140","http://dx.doi.org/10.1002/jmor.10140")</f>
        <v>http://dx.doi.org/10.1002/jmor.10140</v>
      </c>
      <c r="BG921" t="s">
        <v>74</v>
      </c>
      <c r="BH921" t="s">
        <v>74</v>
      </c>
      <c r="BI921">
        <v>21</v>
      </c>
      <c r="BJ921" t="s">
        <v>13094</v>
      </c>
      <c r="BK921" t="s">
        <v>96</v>
      </c>
      <c r="BL921" t="s">
        <v>13094</v>
      </c>
      <c r="BM921" t="s">
        <v>13095</v>
      </c>
      <c r="BN921">
        <v>14518008</v>
      </c>
      <c r="BO921" t="s">
        <v>74</v>
      </c>
      <c r="BP921" t="s">
        <v>74</v>
      </c>
      <c r="BQ921" t="s">
        <v>74</v>
      </c>
      <c r="BR921" t="s">
        <v>99</v>
      </c>
      <c r="BS921" t="s">
        <v>13096</v>
      </c>
      <c r="BT921" t="str">
        <f>HYPERLINK("https%3A%2F%2Fwww.webofscience.com%2Fwos%2Fwoscc%2Ffull-record%2FWOS:000185910700002","View Full Record in Web of Science")</f>
        <v>View Full Record in Web of Science</v>
      </c>
    </row>
    <row r="922" spans="1:72" x14ac:dyDescent="0.15">
      <c r="A922" t="s">
        <v>72</v>
      </c>
      <c r="B922" t="s">
        <v>13097</v>
      </c>
      <c r="C922" t="s">
        <v>74</v>
      </c>
      <c r="D922" t="s">
        <v>74</v>
      </c>
      <c r="E922" t="s">
        <v>74</v>
      </c>
      <c r="F922" t="s">
        <v>13097</v>
      </c>
      <c r="G922" t="s">
        <v>74</v>
      </c>
      <c r="H922" t="s">
        <v>74</v>
      </c>
      <c r="I922" t="s">
        <v>13098</v>
      </c>
      <c r="J922" t="s">
        <v>13099</v>
      </c>
      <c r="K922" t="s">
        <v>74</v>
      </c>
      <c r="L922" t="s">
        <v>74</v>
      </c>
      <c r="M922" t="s">
        <v>77</v>
      </c>
      <c r="N922" t="s">
        <v>78</v>
      </c>
      <c r="O922" t="s">
        <v>74</v>
      </c>
      <c r="P922" t="s">
        <v>74</v>
      </c>
      <c r="Q922" t="s">
        <v>74</v>
      </c>
      <c r="R922" t="s">
        <v>74</v>
      </c>
      <c r="S922" t="s">
        <v>74</v>
      </c>
      <c r="T922" t="s">
        <v>74</v>
      </c>
      <c r="U922" t="s">
        <v>13100</v>
      </c>
      <c r="V922" t="s">
        <v>13101</v>
      </c>
      <c r="W922" t="s">
        <v>13102</v>
      </c>
      <c r="X922" t="s">
        <v>2480</v>
      </c>
      <c r="Y922" t="s">
        <v>13103</v>
      </c>
      <c r="Z922" t="s">
        <v>13104</v>
      </c>
      <c r="AA922" t="s">
        <v>13105</v>
      </c>
      <c r="AB922" t="s">
        <v>13106</v>
      </c>
      <c r="AC922" t="s">
        <v>74</v>
      </c>
      <c r="AD922" t="s">
        <v>74</v>
      </c>
      <c r="AE922" t="s">
        <v>74</v>
      </c>
      <c r="AF922" t="s">
        <v>74</v>
      </c>
      <c r="AG922">
        <v>19</v>
      </c>
      <c r="AH922">
        <v>32</v>
      </c>
      <c r="AI922">
        <v>35</v>
      </c>
      <c r="AJ922">
        <v>0</v>
      </c>
      <c r="AK922">
        <v>8</v>
      </c>
      <c r="AL922" t="s">
        <v>1254</v>
      </c>
      <c r="AM922" t="s">
        <v>364</v>
      </c>
      <c r="AN922" t="s">
        <v>1255</v>
      </c>
      <c r="AO922" t="s">
        <v>13107</v>
      </c>
      <c r="AP922" t="s">
        <v>13108</v>
      </c>
      <c r="AQ922" t="s">
        <v>74</v>
      </c>
      <c r="AR922" t="s">
        <v>13109</v>
      </c>
      <c r="AS922" t="s">
        <v>13110</v>
      </c>
      <c r="AT922" t="s">
        <v>12530</v>
      </c>
      <c r="AU922">
        <v>2003</v>
      </c>
      <c r="AV922">
        <v>66</v>
      </c>
      <c r="AW922">
        <v>11</v>
      </c>
      <c r="AX922" t="s">
        <v>74</v>
      </c>
      <c r="AY922" t="s">
        <v>74</v>
      </c>
      <c r="AZ922" t="s">
        <v>74</v>
      </c>
      <c r="BA922" t="s">
        <v>74</v>
      </c>
      <c r="BB922">
        <v>1517</v>
      </c>
      <c r="BC922">
        <v>1519</v>
      </c>
      <c r="BD922" t="s">
        <v>74</v>
      </c>
      <c r="BE922" t="s">
        <v>13111</v>
      </c>
      <c r="BF922" t="str">
        <f>HYPERLINK("http://dx.doi.org/10.1021/np030201r","http://dx.doi.org/10.1021/np030201r")</f>
        <v>http://dx.doi.org/10.1021/np030201r</v>
      </c>
      <c r="BG922" t="s">
        <v>74</v>
      </c>
      <c r="BH922" t="s">
        <v>74</v>
      </c>
      <c r="BI922">
        <v>3</v>
      </c>
      <c r="BJ922" t="s">
        <v>13112</v>
      </c>
      <c r="BK922" t="s">
        <v>242</v>
      </c>
      <c r="BL922" t="s">
        <v>13113</v>
      </c>
      <c r="BM922" t="s">
        <v>13114</v>
      </c>
      <c r="BN922">
        <v>14640533</v>
      </c>
      <c r="BO922" t="s">
        <v>74</v>
      </c>
      <c r="BP922" t="s">
        <v>74</v>
      </c>
      <c r="BQ922" t="s">
        <v>74</v>
      </c>
      <c r="BR922" t="s">
        <v>99</v>
      </c>
      <c r="BS922" t="s">
        <v>13115</v>
      </c>
      <c r="BT922" t="str">
        <f>HYPERLINK("https%3A%2F%2Fwww.webofscience.com%2Fwos%2Fwoscc%2Ffull-record%2FWOS:000186912400025","View Full Record in Web of Science")</f>
        <v>View Full Record in Web of Science</v>
      </c>
    </row>
    <row r="923" spans="1:72" x14ac:dyDescent="0.15">
      <c r="A923" t="s">
        <v>72</v>
      </c>
      <c r="B923" t="s">
        <v>13116</v>
      </c>
      <c r="C923" t="s">
        <v>74</v>
      </c>
      <c r="D923" t="s">
        <v>74</v>
      </c>
      <c r="E923" t="s">
        <v>74</v>
      </c>
      <c r="F923" t="s">
        <v>13116</v>
      </c>
      <c r="G923" t="s">
        <v>74</v>
      </c>
      <c r="H923" t="s">
        <v>74</v>
      </c>
      <c r="I923" t="s">
        <v>13117</v>
      </c>
      <c r="J923" t="s">
        <v>13118</v>
      </c>
      <c r="K923" t="s">
        <v>74</v>
      </c>
      <c r="L923" t="s">
        <v>74</v>
      </c>
      <c r="M923" t="s">
        <v>77</v>
      </c>
      <c r="N923" t="s">
        <v>78</v>
      </c>
      <c r="O923" t="s">
        <v>74</v>
      </c>
      <c r="P923" t="s">
        <v>74</v>
      </c>
      <c r="Q923" t="s">
        <v>74</v>
      </c>
      <c r="R923" t="s">
        <v>74</v>
      </c>
      <c r="S923" t="s">
        <v>74</v>
      </c>
      <c r="T923" t="s">
        <v>74</v>
      </c>
      <c r="U923" t="s">
        <v>13119</v>
      </c>
      <c r="V923" t="s">
        <v>13120</v>
      </c>
      <c r="W923" t="s">
        <v>13121</v>
      </c>
      <c r="X923" t="s">
        <v>11109</v>
      </c>
      <c r="Y923" t="s">
        <v>13122</v>
      </c>
      <c r="Z923" t="s">
        <v>13123</v>
      </c>
      <c r="AA923" t="s">
        <v>13124</v>
      </c>
      <c r="AB923" t="s">
        <v>13125</v>
      </c>
      <c r="AC923" t="s">
        <v>74</v>
      </c>
      <c r="AD923" t="s">
        <v>74</v>
      </c>
      <c r="AE923" t="s">
        <v>74</v>
      </c>
      <c r="AF923" t="s">
        <v>74</v>
      </c>
      <c r="AG923">
        <v>78</v>
      </c>
      <c r="AH923">
        <v>16</v>
      </c>
      <c r="AI923">
        <v>17</v>
      </c>
      <c r="AJ923">
        <v>0</v>
      </c>
      <c r="AK923">
        <v>1</v>
      </c>
      <c r="AL923" t="s">
        <v>136</v>
      </c>
      <c r="AM923" t="s">
        <v>87</v>
      </c>
      <c r="AN923" t="s">
        <v>137</v>
      </c>
      <c r="AO923" t="s">
        <v>13126</v>
      </c>
      <c r="AP923" t="s">
        <v>13127</v>
      </c>
      <c r="AQ923" t="s">
        <v>74</v>
      </c>
      <c r="AR923" t="s">
        <v>13128</v>
      </c>
      <c r="AS923" t="s">
        <v>13129</v>
      </c>
      <c r="AT923" t="s">
        <v>12530</v>
      </c>
      <c r="AU923">
        <v>2003</v>
      </c>
      <c r="AV923">
        <v>77</v>
      </c>
      <c r="AW923">
        <v>6</v>
      </c>
      <c r="AX923" t="s">
        <v>74</v>
      </c>
      <c r="AY923" t="s">
        <v>74</v>
      </c>
      <c r="AZ923" t="s">
        <v>74</v>
      </c>
      <c r="BA923" t="s">
        <v>74</v>
      </c>
      <c r="BB923">
        <v>1069</v>
      </c>
      <c r="BC923">
        <v>1085</v>
      </c>
      <c r="BD923" t="s">
        <v>74</v>
      </c>
      <c r="BE923" t="s">
        <v>13130</v>
      </c>
      <c r="BF923" t="str">
        <f>HYPERLINK("http://dx.doi.org/10.1666/0022-3360(2003)077&lt;1069:TGSBTI&gt;2.0.CO;2","http://dx.doi.org/10.1666/0022-3360(2003)077&lt;1069:TGSBTI&gt;2.0.CO;2")</f>
        <v>http://dx.doi.org/10.1666/0022-3360(2003)077&lt;1069:TGSBTI&gt;2.0.CO;2</v>
      </c>
      <c r="BG923" t="s">
        <v>74</v>
      </c>
      <c r="BH923" t="s">
        <v>74</v>
      </c>
      <c r="BI923">
        <v>17</v>
      </c>
      <c r="BJ923" t="s">
        <v>1750</v>
      </c>
      <c r="BK923" t="s">
        <v>96</v>
      </c>
      <c r="BL923" t="s">
        <v>1750</v>
      </c>
      <c r="BM923" t="s">
        <v>13131</v>
      </c>
      <c r="BN923" t="s">
        <v>74</v>
      </c>
      <c r="BO923" t="s">
        <v>74</v>
      </c>
      <c r="BP923" t="s">
        <v>74</v>
      </c>
      <c r="BQ923" t="s">
        <v>74</v>
      </c>
      <c r="BR923" t="s">
        <v>99</v>
      </c>
      <c r="BS923" t="s">
        <v>13132</v>
      </c>
      <c r="BT923" t="str">
        <f>HYPERLINK("https%3A%2F%2Fwww.webofscience.com%2Fwos%2Fwoscc%2Ffull-record%2FWOS:000186641000004","View Full Record in Web of Science")</f>
        <v>View Full Record in Web of Science</v>
      </c>
    </row>
    <row r="924" spans="1:72" x14ac:dyDescent="0.15">
      <c r="A924" t="s">
        <v>72</v>
      </c>
      <c r="B924" t="s">
        <v>13133</v>
      </c>
      <c r="C924" t="s">
        <v>74</v>
      </c>
      <c r="D924" t="s">
        <v>74</v>
      </c>
      <c r="E924" t="s">
        <v>74</v>
      </c>
      <c r="F924" t="s">
        <v>13133</v>
      </c>
      <c r="G924" t="s">
        <v>74</v>
      </c>
      <c r="H924" t="s">
        <v>74</v>
      </c>
      <c r="I924" t="s">
        <v>13134</v>
      </c>
      <c r="J924" t="s">
        <v>13135</v>
      </c>
      <c r="K924" t="s">
        <v>74</v>
      </c>
      <c r="L924" t="s">
        <v>74</v>
      </c>
      <c r="M924" t="s">
        <v>77</v>
      </c>
      <c r="N924" t="s">
        <v>78</v>
      </c>
      <c r="O924" t="s">
        <v>74</v>
      </c>
      <c r="P924" t="s">
        <v>74</v>
      </c>
      <c r="Q924" t="s">
        <v>74</v>
      </c>
      <c r="R924" t="s">
        <v>74</v>
      </c>
      <c r="S924" t="s">
        <v>74</v>
      </c>
      <c r="T924" t="s">
        <v>13136</v>
      </c>
      <c r="U924" t="s">
        <v>13137</v>
      </c>
      <c r="V924" t="s">
        <v>13138</v>
      </c>
      <c r="W924" t="s">
        <v>13139</v>
      </c>
      <c r="X924" t="s">
        <v>13140</v>
      </c>
      <c r="Y924" t="s">
        <v>13141</v>
      </c>
      <c r="Z924" t="s">
        <v>74</v>
      </c>
      <c r="AA924" t="s">
        <v>13142</v>
      </c>
      <c r="AB924" t="s">
        <v>13143</v>
      </c>
      <c r="AC924" t="s">
        <v>74</v>
      </c>
      <c r="AD924" t="s">
        <v>74</v>
      </c>
      <c r="AE924" t="s">
        <v>74</v>
      </c>
      <c r="AF924" t="s">
        <v>74</v>
      </c>
      <c r="AG924">
        <v>82</v>
      </c>
      <c r="AH924">
        <v>50</v>
      </c>
      <c r="AI924">
        <v>54</v>
      </c>
      <c r="AJ924">
        <v>1</v>
      </c>
      <c r="AK924">
        <v>5</v>
      </c>
      <c r="AL924" t="s">
        <v>277</v>
      </c>
      <c r="AM924" t="s">
        <v>214</v>
      </c>
      <c r="AN924" t="s">
        <v>278</v>
      </c>
      <c r="AO924" t="s">
        <v>13144</v>
      </c>
      <c r="AP924" t="s">
        <v>74</v>
      </c>
      <c r="AQ924" t="s">
        <v>74</v>
      </c>
      <c r="AR924" t="s">
        <v>13145</v>
      </c>
      <c r="AS924" t="s">
        <v>13146</v>
      </c>
      <c r="AT924" t="s">
        <v>12530</v>
      </c>
      <c r="AU924">
        <v>2003</v>
      </c>
      <c r="AV924">
        <v>44</v>
      </c>
      <c r="AW924">
        <v>11</v>
      </c>
      <c r="AX924" t="s">
        <v>74</v>
      </c>
      <c r="AY924" t="s">
        <v>74</v>
      </c>
      <c r="AZ924" t="s">
        <v>74</v>
      </c>
      <c r="BA924" t="s">
        <v>74</v>
      </c>
      <c r="BB924">
        <v>2053</v>
      </c>
      <c r="BC924">
        <v>2080</v>
      </c>
      <c r="BD924" t="s">
        <v>74</v>
      </c>
      <c r="BE924" t="s">
        <v>13147</v>
      </c>
      <c r="BF924" t="str">
        <f>HYPERLINK("http://dx.doi.org/10.1093/petrology/egg070","http://dx.doi.org/10.1093/petrology/egg070")</f>
        <v>http://dx.doi.org/10.1093/petrology/egg070</v>
      </c>
      <c r="BG924" t="s">
        <v>74</v>
      </c>
      <c r="BH924" t="s">
        <v>74</v>
      </c>
      <c r="BI924">
        <v>28</v>
      </c>
      <c r="BJ924" t="s">
        <v>262</v>
      </c>
      <c r="BK924" t="s">
        <v>96</v>
      </c>
      <c r="BL924" t="s">
        <v>262</v>
      </c>
      <c r="BM924" t="s">
        <v>13148</v>
      </c>
      <c r="BN924" t="s">
        <v>74</v>
      </c>
      <c r="BO924" t="s">
        <v>516</v>
      </c>
      <c r="BP924" t="s">
        <v>74</v>
      </c>
      <c r="BQ924" t="s">
        <v>74</v>
      </c>
      <c r="BR924" t="s">
        <v>99</v>
      </c>
      <c r="BS924" t="s">
        <v>13149</v>
      </c>
      <c r="BT924" t="str">
        <f>HYPERLINK("https%3A%2F%2Fwww.webofscience.com%2Fwos%2Fwoscc%2Ffull-record%2FWOS:000186445300006","View Full Record in Web of Science")</f>
        <v>View Full Record in Web of Science</v>
      </c>
    </row>
    <row r="925" spans="1:72" x14ac:dyDescent="0.15">
      <c r="A925" t="s">
        <v>72</v>
      </c>
      <c r="B925" t="s">
        <v>13150</v>
      </c>
      <c r="C925" t="s">
        <v>74</v>
      </c>
      <c r="D925" t="s">
        <v>74</v>
      </c>
      <c r="E925" t="s">
        <v>74</v>
      </c>
      <c r="F925" t="s">
        <v>13150</v>
      </c>
      <c r="G925" t="s">
        <v>74</v>
      </c>
      <c r="H925" t="s">
        <v>74</v>
      </c>
      <c r="I925" t="s">
        <v>13151</v>
      </c>
      <c r="J925" t="s">
        <v>1693</v>
      </c>
      <c r="K925" t="s">
        <v>74</v>
      </c>
      <c r="L925" t="s">
        <v>74</v>
      </c>
      <c r="M925" t="s">
        <v>77</v>
      </c>
      <c r="N925" t="s">
        <v>78</v>
      </c>
      <c r="O925" t="s">
        <v>74</v>
      </c>
      <c r="P925" t="s">
        <v>74</v>
      </c>
      <c r="Q925" t="s">
        <v>74</v>
      </c>
      <c r="R925" t="s">
        <v>74</v>
      </c>
      <c r="S925" t="s">
        <v>74</v>
      </c>
      <c r="T925" t="s">
        <v>74</v>
      </c>
      <c r="U925" t="s">
        <v>13152</v>
      </c>
      <c r="V925" t="s">
        <v>13153</v>
      </c>
      <c r="W925" t="s">
        <v>3158</v>
      </c>
      <c r="X925" t="s">
        <v>3159</v>
      </c>
      <c r="Y925" t="s">
        <v>13154</v>
      </c>
      <c r="Z925" t="s">
        <v>13155</v>
      </c>
      <c r="AA925" t="s">
        <v>74</v>
      </c>
      <c r="AB925" t="s">
        <v>74</v>
      </c>
      <c r="AC925" t="s">
        <v>74</v>
      </c>
      <c r="AD925" t="s">
        <v>74</v>
      </c>
      <c r="AE925" t="s">
        <v>74</v>
      </c>
      <c r="AF925" t="s">
        <v>74</v>
      </c>
      <c r="AG925">
        <v>37</v>
      </c>
      <c r="AH925">
        <v>370</v>
      </c>
      <c r="AI925">
        <v>402</v>
      </c>
      <c r="AJ925">
        <v>1</v>
      </c>
      <c r="AK925">
        <v>55</v>
      </c>
      <c r="AL925" t="s">
        <v>297</v>
      </c>
      <c r="AM925" t="s">
        <v>298</v>
      </c>
      <c r="AN925" t="s">
        <v>299</v>
      </c>
      <c r="AO925" t="s">
        <v>1700</v>
      </c>
      <c r="AP925" t="s">
        <v>3162</v>
      </c>
      <c r="AQ925" t="s">
        <v>74</v>
      </c>
      <c r="AR925" t="s">
        <v>1701</v>
      </c>
      <c r="AS925" t="s">
        <v>1702</v>
      </c>
      <c r="AT925" t="s">
        <v>12530</v>
      </c>
      <c r="AU925">
        <v>2003</v>
      </c>
      <c r="AV925">
        <v>33</v>
      </c>
      <c r="AW925">
        <v>11</v>
      </c>
      <c r="AX925" t="s">
        <v>74</v>
      </c>
      <c r="AY925" t="s">
        <v>74</v>
      </c>
      <c r="AZ925" t="s">
        <v>74</v>
      </c>
      <c r="BA925" t="s">
        <v>74</v>
      </c>
      <c r="BB925">
        <v>2341</v>
      </c>
      <c r="BC925">
        <v>2354</v>
      </c>
      <c r="BD925" t="s">
        <v>74</v>
      </c>
      <c r="BE925" t="s">
        <v>13156</v>
      </c>
      <c r="BF925" t="str">
        <f>HYPERLINK("http://dx.doi.org/10.1175/1520-0485(2003)033&lt;2341:RSFTAC&gt;2.0.CO;2","http://dx.doi.org/10.1175/1520-0485(2003)033&lt;2341:RSFTAC&gt;2.0.CO;2")</f>
        <v>http://dx.doi.org/10.1175/1520-0485(2003)033&lt;2341:RSFTAC&gt;2.0.CO;2</v>
      </c>
      <c r="BG925" t="s">
        <v>74</v>
      </c>
      <c r="BH925" t="s">
        <v>74</v>
      </c>
      <c r="BI925">
        <v>14</v>
      </c>
      <c r="BJ925" t="s">
        <v>477</v>
      </c>
      <c r="BK925" t="s">
        <v>96</v>
      </c>
      <c r="BL925" t="s">
        <v>477</v>
      </c>
      <c r="BM925" t="s">
        <v>13157</v>
      </c>
      <c r="BN925" t="s">
        <v>74</v>
      </c>
      <c r="BO925" t="s">
        <v>541</v>
      </c>
      <c r="BP925" t="s">
        <v>74</v>
      </c>
      <c r="BQ925" t="s">
        <v>74</v>
      </c>
      <c r="BR925" t="s">
        <v>99</v>
      </c>
      <c r="BS925" t="s">
        <v>13158</v>
      </c>
      <c r="BT925" t="str">
        <f>HYPERLINK("https%3A%2F%2Fwww.webofscience.com%2Fwos%2Fwoscc%2Ffull-record%2FWOS:000186103500010","View Full Record in Web of Science")</f>
        <v>View Full Record in Web of Science</v>
      </c>
    </row>
    <row r="926" spans="1:72" x14ac:dyDescent="0.15">
      <c r="A926" t="s">
        <v>72</v>
      </c>
      <c r="B926" t="s">
        <v>13159</v>
      </c>
      <c r="C926" t="s">
        <v>74</v>
      </c>
      <c r="D926" t="s">
        <v>74</v>
      </c>
      <c r="E926" t="s">
        <v>74</v>
      </c>
      <c r="F926" t="s">
        <v>13159</v>
      </c>
      <c r="G926" t="s">
        <v>74</v>
      </c>
      <c r="H926" t="s">
        <v>74</v>
      </c>
      <c r="I926" t="s">
        <v>13160</v>
      </c>
      <c r="J926" t="s">
        <v>13161</v>
      </c>
      <c r="K926" t="s">
        <v>74</v>
      </c>
      <c r="L926" t="s">
        <v>74</v>
      </c>
      <c r="M926" t="s">
        <v>77</v>
      </c>
      <c r="N926" t="s">
        <v>268</v>
      </c>
      <c r="O926" t="s">
        <v>74</v>
      </c>
      <c r="P926" t="s">
        <v>74</v>
      </c>
      <c r="Q926" t="s">
        <v>74</v>
      </c>
      <c r="R926" t="s">
        <v>74</v>
      </c>
      <c r="S926" t="s">
        <v>74</v>
      </c>
      <c r="T926" t="s">
        <v>74</v>
      </c>
      <c r="U926" t="s">
        <v>13162</v>
      </c>
      <c r="V926" t="s">
        <v>13163</v>
      </c>
      <c r="W926" t="s">
        <v>13164</v>
      </c>
      <c r="X926" t="s">
        <v>82</v>
      </c>
      <c r="Y926" t="s">
        <v>13165</v>
      </c>
      <c r="Z926" t="s">
        <v>13166</v>
      </c>
      <c r="AA926" t="s">
        <v>74</v>
      </c>
      <c r="AB926" t="s">
        <v>74</v>
      </c>
      <c r="AC926" t="s">
        <v>74</v>
      </c>
      <c r="AD926" t="s">
        <v>74</v>
      </c>
      <c r="AE926" t="s">
        <v>74</v>
      </c>
      <c r="AF926" t="s">
        <v>74</v>
      </c>
      <c r="AG926">
        <v>104</v>
      </c>
      <c r="AH926">
        <v>28</v>
      </c>
      <c r="AI926">
        <v>31</v>
      </c>
      <c r="AJ926">
        <v>0</v>
      </c>
      <c r="AK926">
        <v>6</v>
      </c>
      <c r="AL926" t="s">
        <v>13167</v>
      </c>
      <c r="AM926" t="s">
        <v>13168</v>
      </c>
      <c r="AN926" t="s">
        <v>13169</v>
      </c>
      <c r="AO926" t="s">
        <v>13170</v>
      </c>
      <c r="AP926" t="s">
        <v>13171</v>
      </c>
      <c r="AQ926" t="s">
        <v>74</v>
      </c>
      <c r="AR926" t="s">
        <v>13172</v>
      </c>
      <c r="AS926" t="s">
        <v>13173</v>
      </c>
      <c r="AT926" t="s">
        <v>12530</v>
      </c>
      <c r="AU926">
        <v>2003</v>
      </c>
      <c r="AV926">
        <v>73</v>
      </c>
      <c r="AW926">
        <v>6</v>
      </c>
      <c r="AX926" t="s">
        <v>74</v>
      </c>
      <c r="AY926" t="s">
        <v>74</v>
      </c>
      <c r="AZ926" t="s">
        <v>74</v>
      </c>
      <c r="BA926" t="s">
        <v>74</v>
      </c>
      <c r="BB926">
        <v>1062</v>
      </c>
      <c r="BC926">
        <v>1077</v>
      </c>
      <c r="BD926" t="s">
        <v>74</v>
      </c>
      <c r="BE926" t="s">
        <v>13174</v>
      </c>
      <c r="BF926" t="str">
        <f>HYPERLINK("http://dx.doi.org/10.1306/050103731062","http://dx.doi.org/10.1306/050103731062")</f>
        <v>http://dx.doi.org/10.1306/050103731062</v>
      </c>
      <c r="BG926" t="s">
        <v>74</v>
      </c>
      <c r="BH926" t="s">
        <v>74</v>
      </c>
      <c r="BI926">
        <v>16</v>
      </c>
      <c r="BJ926" t="s">
        <v>561</v>
      </c>
      <c r="BK926" t="s">
        <v>96</v>
      </c>
      <c r="BL926" t="s">
        <v>561</v>
      </c>
      <c r="BM926" t="s">
        <v>13175</v>
      </c>
      <c r="BN926" t="s">
        <v>74</v>
      </c>
      <c r="BO926" t="s">
        <v>74</v>
      </c>
      <c r="BP926" t="s">
        <v>74</v>
      </c>
      <c r="BQ926" t="s">
        <v>74</v>
      </c>
      <c r="BR926" t="s">
        <v>99</v>
      </c>
      <c r="BS926" t="s">
        <v>13176</v>
      </c>
      <c r="BT926" t="str">
        <f>HYPERLINK("https%3A%2F%2Fwww.webofscience.com%2Fwos%2Fwoscc%2Ffull-record%2FWOS:000186375400016","View Full Record in Web of Science")</f>
        <v>View Full Record in Web of Science</v>
      </c>
    </row>
    <row r="927" spans="1:72" x14ac:dyDescent="0.15">
      <c r="A927" t="s">
        <v>72</v>
      </c>
      <c r="B927" t="s">
        <v>13177</v>
      </c>
      <c r="C927" t="s">
        <v>74</v>
      </c>
      <c r="D927" t="s">
        <v>74</v>
      </c>
      <c r="E927" t="s">
        <v>74</v>
      </c>
      <c r="F927" t="s">
        <v>13177</v>
      </c>
      <c r="G927" t="s">
        <v>74</v>
      </c>
      <c r="H927" t="s">
        <v>74</v>
      </c>
      <c r="I927" t="s">
        <v>13178</v>
      </c>
      <c r="J927" t="s">
        <v>13179</v>
      </c>
      <c r="K927" t="s">
        <v>74</v>
      </c>
      <c r="L927" t="s">
        <v>74</v>
      </c>
      <c r="M927" t="s">
        <v>77</v>
      </c>
      <c r="N927" t="s">
        <v>78</v>
      </c>
      <c r="O927" t="s">
        <v>74</v>
      </c>
      <c r="P927" t="s">
        <v>74</v>
      </c>
      <c r="Q927" t="s">
        <v>74</v>
      </c>
      <c r="R927" t="s">
        <v>74</v>
      </c>
      <c r="S927" t="s">
        <v>74</v>
      </c>
      <c r="T927" t="s">
        <v>74</v>
      </c>
      <c r="U927" t="s">
        <v>13180</v>
      </c>
      <c r="V927" t="s">
        <v>13181</v>
      </c>
      <c r="W927" t="s">
        <v>13182</v>
      </c>
      <c r="X927" t="s">
        <v>13183</v>
      </c>
      <c r="Y927" t="s">
        <v>13184</v>
      </c>
      <c r="Z927" t="s">
        <v>74</v>
      </c>
      <c r="AA927" t="s">
        <v>13185</v>
      </c>
      <c r="AB927" t="s">
        <v>74</v>
      </c>
      <c r="AC927" t="s">
        <v>74</v>
      </c>
      <c r="AD927" t="s">
        <v>74</v>
      </c>
      <c r="AE927" t="s">
        <v>74</v>
      </c>
      <c r="AF927" t="s">
        <v>74</v>
      </c>
      <c r="AG927">
        <v>30</v>
      </c>
      <c r="AH927">
        <v>32</v>
      </c>
      <c r="AI927">
        <v>38</v>
      </c>
      <c r="AJ927">
        <v>0</v>
      </c>
      <c r="AK927">
        <v>7</v>
      </c>
      <c r="AL927" t="s">
        <v>13186</v>
      </c>
      <c r="AM927" t="s">
        <v>13187</v>
      </c>
      <c r="AN927" t="s">
        <v>13188</v>
      </c>
      <c r="AO927" t="s">
        <v>13189</v>
      </c>
      <c r="AP927" t="s">
        <v>74</v>
      </c>
      <c r="AQ927" t="s">
        <v>74</v>
      </c>
      <c r="AR927" t="s">
        <v>13179</v>
      </c>
      <c r="AS927" t="s">
        <v>13190</v>
      </c>
      <c r="AT927" t="s">
        <v>12530</v>
      </c>
      <c r="AU927">
        <v>2003</v>
      </c>
      <c r="AV927">
        <v>38</v>
      </c>
      <c r="AW927">
        <v>11</v>
      </c>
      <c r="AX927" t="s">
        <v>74</v>
      </c>
      <c r="AY927" t="s">
        <v>74</v>
      </c>
      <c r="AZ927" t="s">
        <v>74</v>
      </c>
      <c r="BA927" t="s">
        <v>74</v>
      </c>
      <c r="BB927">
        <v>1207</v>
      </c>
      <c r="BC927">
        <v>1210</v>
      </c>
      <c r="BD927" t="s">
        <v>74</v>
      </c>
      <c r="BE927" t="s">
        <v>13191</v>
      </c>
      <c r="BF927" t="str">
        <f>HYPERLINK("http://dx.doi.org/10.1007/s11745-003-1180-z","http://dx.doi.org/10.1007/s11745-003-1180-z")</f>
        <v>http://dx.doi.org/10.1007/s11745-003-1180-z</v>
      </c>
      <c r="BG927" t="s">
        <v>74</v>
      </c>
      <c r="BH927" t="s">
        <v>74</v>
      </c>
      <c r="BI927">
        <v>4</v>
      </c>
      <c r="BJ927" t="s">
        <v>13192</v>
      </c>
      <c r="BK927" t="s">
        <v>96</v>
      </c>
      <c r="BL927" t="s">
        <v>13192</v>
      </c>
      <c r="BM927" t="s">
        <v>13193</v>
      </c>
      <c r="BN927">
        <v>14733367</v>
      </c>
      <c r="BO927" t="s">
        <v>74</v>
      </c>
      <c r="BP927" t="s">
        <v>74</v>
      </c>
      <c r="BQ927" t="s">
        <v>74</v>
      </c>
      <c r="BR927" t="s">
        <v>99</v>
      </c>
      <c r="BS927" t="s">
        <v>13194</v>
      </c>
      <c r="BT927" t="str">
        <f>HYPERLINK("https%3A%2F%2Fwww.webofscience.com%2Fwos%2Fwoscc%2Ffull-record%2FWOS:000187507400013","View Full Record in Web of Science")</f>
        <v>View Full Record in Web of Science</v>
      </c>
    </row>
    <row r="928" spans="1:72" x14ac:dyDescent="0.15">
      <c r="A928" t="s">
        <v>72</v>
      </c>
      <c r="B928" t="s">
        <v>13195</v>
      </c>
      <c r="C928" t="s">
        <v>74</v>
      </c>
      <c r="D928" t="s">
        <v>74</v>
      </c>
      <c r="E928" t="s">
        <v>74</v>
      </c>
      <c r="F928" t="s">
        <v>13195</v>
      </c>
      <c r="G928" t="s">
        <v>74</v>
      </c>
      <c r="H928" t="s">
        <v>74</v>
      </c>
      <c r="I928" t="s">
        <v>13196</v>
      </c>
      <c r="J928" t="s">
        <v>1756</v>
      </c>
      <c r="K928" t="s">
        <v>74</v>
      </c>
      <c r="L928" t="s">
        <v>74</v>
      </c>
      <c r="M928" t="s">
        <v>77</v>
      </c>
      <c r="N928" t="s">
        <v>78</v>
      </c>
      <c r="O928" t="s">
        <v>74</v>
      </c>
      <c r="P928" t="s">
        <v>74</v>
      </c>
      <c r="Q928" t="s">
        <v>74</v>
      </c>
      <c r="R928" t="s">
        <v>74</v>
      </c>
      <c r="S928" t="s">
        <v>74</v>
      </c>
      <c r="T928" t="s">
        <v>74</v>
      </c>
      <c r="U928" t="s">
        <v>13197</v>
      </c>
      <c r="V928" t="s">
        <v>13198</v>
      </c>
      <c r="W928" t="s">
        <v>13199</v>
      </c>
      <c r="X928" t="s">
        <v>13200</v>
      </c>
      <c r="Y928" t="s">
        <v>13201</v>
      </c>
      <c r="Z928" t="s">
        <v>74</v>
      </c>
      <c r="AA928" t="s">
        <v>74</v>
      </c>
      <c r="AB928" t="s">
        <v>74</v>
      </c>
      <c r="AC928" t="s">
        <v>74</v>
      </c>
      <c r="AD928" t="s">
        <v>74</v>
      </c>
      <c r="AE928" t="s">
        <v>74</v>
      </c>
      <c r="AF928" t="s">
        <v>74</v>
      </c>
      <c r="AG928">
        <v>51</v>
      </c>
      <c r="AH928">
        <v>49</v>
      </c>
      <c r="AI928">
        <v>55</v>
      </c>
      <c r="AJ928">
        <v>0</v>
      </c>
      <c r="AK928">
        <v>29</v>
      </c>
      <c r="AL928" t="s">
        <v>123</v>
      </c>
      <c r="AM928" t="s">
        <v>87</v>
      </c>
      <c r="AN928" t="s">
        <v>124</v>
      </c>
      <c r="AO928" t="s">
        <v>1765</v>
      </c>
      <c r="AP928" t="s">
        <v>74</v>
      </c>
      <c r="AQ928" t="s">
        <v>74</v>
      </c>
      <c r="AR928" t="s">
        <v>1767</v>
      </c>
      <c r="AS928" t="s">
        <v>1768</v>
      </c>
      <c r="AT928" t="s">
        <v>12530</v>
      </c>
      <c r="AU928">
        <v>2003</v>
      </c>
      <c r="AV928">
        <v>143</v>
      </c>
      <c r="AW928">
        <v>5</v>
      </c>
      <c r="AX928" t="s">
        <v>74</v>
      </c>
      <c r="AY928" t="s">
        <v>74</v>
      </c>
      <c r="AZ928" t="s">
        <v>74</v>
      </c>
      <c r="BA928" t="s">
        <v>74</v>
      </c>
      <c r="BB928">
        <v>833</v>
      </c>
      <c r="BC928">
        <v>843</v>
      </c>
      <c r="BD928" t="s">
        <v>74</v>
      </c>
      <c r="BE928" t="s">
        <v>13202</v>
      </c>
      <c r="BF928" t="str">
        <f>HYPERLINK("http://dx.doi.org/10.1007/s00227-003-1130-8","http://dx.doi.org/10.1007/s00227-003-1130-8")</f>
        <v>http://dx.doi.org/10.1007/s00227-003-1130-8</v>
      </c>
      <c r="BG928" t="s">
        <v>74</v>
      </c>
      <c r="BH928" t="s">
        <v>74</v>
      </c>
      <c r="BI928">
        <v>11</v>
      </c>
      <c r="BJ928" t="s">
        <v>1770</v>
      </c>
      <c r="BK928" t="s">
        <v>96</v>
      </c>
      <c r="BL928" t="s">
        <v>1770</v>
      </c>
      <c r="BM928" t="s">
        <v>13203</v>
      </c>
      <c r="BN928" t="s">
        <v>74</v>
      </c>
      <c r="BO928" t="s">
        <v>74</v>
      </c>
      <c r="BP928" t="s">
        <v>74</v>
      </c>
      <c r="BQ928" t="s">
        <v>74</v>
      </c>
      <c r="BR928" t="s">
        <v>99</v>
      </c>
      <c r="BS928" t="s">
        <v>13204</v>
      </c>
      <c r="BT928" t="str">
        <f>HYPERLINK("https%3A%2F%2Fwww.webofscience.com%2Fwos%2Fwoscc%2Ffull-record%2FWOS:000186463800001","View Full Record in Web of Science")</f>
        <v>View Full Record in Web of Science</v>
      </c>
    </row>
    <row r="929" spans="1:72" x14ac:dyDescent="0.15">
      <c r="A929" t="s">
        <v>72</v>
      </c>
      <c r="B929" t="s">
        <v>3306</v>
      </c>
      <c r="C929" t="s">
        <v>74</v>
      </c>
      <c r="D929" t="s">
        <v>74</v>
      </c>
      <c r="E929" t="s">
        <v>74</v>
      </c>
      <c r="F929" t="s">
        <v>3306</v>
      </c>
      <c r="G929" t="s">
        <v>74</v>
      </c>
      <c r="H929" t="s">
        <v>74</v>
      </c>
      <c r="I929" t="s">
        <v>13205</v>
      </c>
      <c r="J929" t="s">
        <v>1786</v>
      </c>
      <c r="K929" t="s">
        <v>74</v>
      </c>
      <c r="L929" t="s">
        <v>74</v>
      </c>
      <c r="M929" t="s">
        <v>77</v>
      </c>
      <c r="N929" t="s">
        <v>3308</v>
      </c>
      <c r="O929" t="s">
        <v>74</v>
      </c>
      <c r="P929" t="s">
        <v>74</v>
      </c>
      <c r="Q929" t="s">
        <v>74</v>
      </c>
      <c r="R929" t="s">
        <v>74</v>
      </c>
      <c r="S929" t="s">
        <v>74</v>
      </c>
      <c r="T929" t="s">
        <v>74</v>
      </c>
      <c r="U929" t="s">
        <v>74</v>
      </c>
      <c r="V929" t="s">
        <v>74</v>
      </c>
      <c r="W929" t="s">
        <v>74</v>
      </c>
      <c r="X929" t="s">
        <v>74</v>
      </c>
      <c r="Y929" t="s">
        <v>74</v>
      </c>
      <c r="Z929" t="s">
        <v>74</v>
      </c>
      <c r="AA929" t="s">
        <v>74</v>
      </c>
      <c r="AB929" t="s">
        <v>74</v>
      </c>
      <c r="AC929" t="s">
        <v>74</v>
      </c>
      <c r="AD929" t="s">
        <v>74</v>
      </c>
      <c r="AE929" t="s">
        <v>74</v>
      </c>
      <c r="AF929" t="s">
        <v>74</v>
      </c>
      <c r="AG929">
        <v>0</v>
      </c>
      <c r="AH929">
        <v>0</v>
      </c>
      <c r="AI929">
        <v>0</v>
      </c>
      <c r="AJ929">
        <v>0</v>
      </c>
      <c r="AK929">
        <v>0</v>
      </c>
      <c r="AL929" t="s">
        <v>213</v>
      </c>
      <c r="AM929" t="s">
        <v>214</v>
      </c>
      <c r="AN929" t="s">
        <v>215</v>
      </c>
      <c r="AO929" t="s">
        <v>1796</v>
      </c>
      <c r="AP929" t="s">
        <v>1797</v>
      </c>
      <c r="AQ929" t="s">
        <v>74</v>
      </c>
      <c r="AR929" t="s">
        <v>1798</v>
      </c>
      <c r="AS929" t="s">
        <v>1799</v>
      </c>
      <c r="AT929" t="s">
        <v>12530</v>
      </c>
      <c r="AU929">
        <v>2003</v>
      </c>
      <c r="AV929">
        <v>46</v>
      </c>
      <c r="AW929">
        <v>11</v>
      </c>
      <c r="AX929" t="s">
        <v>74</v>
      </c>
      <c r="AY929" t="s">
        <v>74</v>
      </c>
      <c r="AZ929" t="s">
        <v>74</v>
      </c>
      <c r="BA929" t="s">
        <v>74</v>
      </c>
      <c r="BB929">
        <v>1363</v>
      </c>
      <c r="BC929">
        <v>1363</v>
      </c>
      <c r="BD929" t="s">
        <v>74</v>
      </c>
      <c r="BE929" t="s">
        <v>74</v>
      </c>
      <c r="BF929" t="s">
        <v>74</v>
      </c>
      <c r="BG929" t="s">
        <v>74</v>
      </c>
      <c r="BH929" t="s">
        <v>74</v>
      </c>
      <c r="BI929">
        <v>1</v>
      </c>
      <c r="BJ929" t="s">
        <v>1802</v>
      </c>
      <c r="BK929" t="s">
        <v>96</v>
      </c>
      <c r="BL929" t="s">
        <v>1117</v>
      </c>
      <c r="BM929" t="s">
        <v>13206</v>
      </c>
      <c r="BN929" t="s">
        <v>74</v>
      </c>
      <c r="BO929" t="s">
        <v>74</v>
      </c>
      <c r="BP929" t="s">
        <v>74</v>
      </c>
      <c r="BQ929" t="s">
        <v>74</v>
      </c>
      <c r="BR929" t="s">
        <v>99</v>
      </c>
      <c r="BS929" t="s">
        <v>13207</v>
      </c>
      <c r="BT929" t="str">
        <f>HYPERLINK("https%3A%2F%2Fwww.webofscience.com%2Fwos%2Fwoscc%2Ffull-record%2FWOS:000186854000009","View Full Record in Web of Science")</f>
        <v>View Full Record in Web of Science</v>
      </c>
    </row>
    <row r="930" spans="1:72" x14ac:dyDescent="0.15">
      <c r="A930" t="s">
        <v>72</v>
      </c>
      <c r="B930" t="s">
        <v>13208</v>
      </c>
      <c r="C930" t="s">
        <v>74</v>
      </c>
      <c r="D930" t="s">
        <v>74</v>
      </c>
      <c r="E930" t="s">
        <v>74</v>
      </c>
      <c r="F930" t="s">
        <v>13208</v>
      </c>
      <c r="G930" t="s">
        <v>74</v>
      </c>
      <c r="H930" t="s">
        <v>74</v>
      </c>
      <c r="I930" t="s">
        <v>13209</v>
      </c>
      <c r="J930" t="s">
        <v>1815</v>
      </c>
      <c r="K930" t="s">
        <v>74</v>
      </c>
      <c r="L930" t="s">
        <v>74</v>
      </c>
      <c r="M930" t="s">
        <v>77</v>
      </c>
      <c r="N930" t="s">
        <v>78</v>
      </c>
      <c r="O930" t="s">
        <v>74</v>
      </c>
      <c r="P930" t="s">
        <v>74</v>
      </c>
      <c r="Q930" t="s">
        <v>74</v>
      </c>
      <c r="R930" t="s">
        <v>74</v>
      </c>
      <c r="S930" t="s">
        <v>74</v>
      </c>
      <c r="T930" t="s">
        <v>74</v>
      </c>
      <c r="U930" t="s">
        <v>13210</v>
      </c>
      <c r="V930" t="s">
        <v>13211</v>
      </c>
      <c r="W930" t="s">
        <v>13212</v>
      </c>
      <c r="X930" t="s">
        <v>13213</v>
      </c>
      <c r="Y930" t="s">
        <v>13214</v>
      </c>
      <c r="Z930" t="s">
        <v>13215</v>
      </c>
      <c r="AA930" t="s">
        <v>13216</v>
      </c>
      <c r="AB930" t="s">
        <v>74</v>
      </c>
      <c r="AC930" t="s">
        <v>74</v>
      </c>
      <c r="AD930" t="s">
        <v>74</v>
      </c>
      <c r="AE930" t="s">
        <v>74</v>
      </c>
      <c r="AF930" t="s">
        <v>74</v>
      </c>
      <c r="AG930">
        <v>72</v>
      </c>
      <c r="AH930">
        <v>34</v>
      </c>
      <c r="AI930">
        <v>36</v>
      </c>
      <c r="AJ930">
        <v>0</v>
      </c>
      <c r="AK930">
        <v>15</v>
      </c>
      <c r="AL930" t="s">
        <v>198</v>
      </c>
      <c r="AM930" t="s">
        <v>178</v>
      </c>
      <c r="AN930" t="s">
        <v>179</v>
      </c>
      <c r="AO930" t="s">
        <v>1825</v>
      </c>
      <c r="AP930" t="s">
        <v>1840</v>
      </c>
      <c r="AQ930" t="s">
        <v>74</v>
      </c>
      <c r="AR930" t="s">
        <v>1826</v>
      </c>
      <c r="AS930" t="s">
        <v>1827</v>
      </c>
      <c r="AT930" t="s">
        <v>12530</v>
      </c>
      <c r="AU930">
        <v>2003</v>
      </c>
      <c r="AV930">
        <v>38</v>
      </c>
      <c r="AW930">
        <v>11</v>
      </c>
      <c r="AX930" t="s">
        <v>74</v>
      </c>
      <c r="AY930" t="s">
        <v>74</v>
      </c>
      <c r="AZ930" t="s">
        <v>74</v>
      </c>
      <c r="BA930" t="s">
        <v>74</v>
      </c>
      <c r="BB930">
        <v>1585</v>
      </c>
      <c r="BC930">
        <v>1600</v>
      </c>
      <c r="BD930" t="s">
        <v>74</v>
      </c>
      <c r="BE930" t="s">
        <v>13217</v>
      </c>
      <c r="BF930" t="str">
        <f>HYPERLINK("http://dx.doi.org/10.1111/j.1945-5100.2003.tb00003.x","http://dx.doi.org/10.1111/j.1945-5100.2003.tb00003.x")</f>
        <v>http://dx.doi.org/10.1111/j.1945-5100.2003.tb00003.x</v>
      </c>
      <c r="BG930" t="s">
        <v>74</v>
      </c>
      <c r="BH930" t="s">
        <v>74</v>
      </c>
      <c r="BI930">
        <v>16</v>
      </c>
      <c r="BJ930" t="s">
        <v>262</v>
      </c>
      <c r="BK930" t="s">
        <v>96</v>
      </c>
      <c r="BL930" t="s">
        <v>262</v>
      </c>
      <c r="BM930" t="s">
        <v>13218</v>
      </c>
      <c r="BN930" t="s">
        <v>74</v>
      </c>
      <c r="BO930" t="s">
        <v>74</v>
      </c>
      <c r="BP930" t="s">
        <v>74</v>
      </c>
      <c r="BQ930" t="s">
        <v>74</v>
      </c>
      <c r="BR930" t="s">
        <v>99</v>
      </c>
      <c r="BS930" t="s">
        <v>13219</v>
      </c>
      <c r="BT930" t="str">
        <f>HYPERLINK("https%3A%2F%2Fwww.webofscience.com%2Fwos%2Fwoscc%2Ffull-record%2FWOS:000188386600003","View Full Record in Web of Science")</f>
        <v>View Full Record in Web of Science</v>
      </c>
    </row>
    <row r="931" spans="1:72" x14ac:dyDescent="0.15">
      <c r="A931" t="s">
        <v>72</v>
      </c>
      <c r="B931" t="s">
        <v>13220</v>
      </c>
      <c r="C931" t="s">
        <v>74</v>
      </c>
      <c r="D931" t="s">
        <v>74</v>
      </c>
      <c r="E931" t="s">
        <v>74</v>
      </c>
      <c r="F931" t="s">
        <v>13220</v>
      </c>
      <c r="G931" t="s">
        <v>74</v>
      </c>
      <c r="H931" t="s">
        <v>74</v>
      </c>
      <c r="I931" t="s">
        <v>13221</v>
      </c>
      <c r="J931" t="s">
        <v>1815</v>
      </c>
      <c r="K931" t="s">
        <v>74</v>
      </c>
      <c r="L931" t="s">
        <v>74</v>
      </c>
      <c r="M931" t="s">
        <v>77</v>
      </c>
      <c r="N931" t="s">
        <v>78</v>
      </c>
      <c r="O931" t="s">
        <v>74</v>
      </c>
      <c r="P931" t="s">
        <v>74</v>
      </c>
      <c r="Q931" t="s">
        <v>74</v>
      </c>
      <c r="R931" t="s">
        <v>74</v>
      </c>
      <c r="S931" t="s">
        <v>74</v>
      </c>
      <c r="T931" t="s">
        <v>74</v>
      </c>
      <c r="U931" t="s">
        <v>13222</v>
      </c>
      <c r="V931" t="s">
        <v>13223</v>
      </c>
      <c r="W931" t="s">
        <v>13224</v>
      </c>
      <c r="X931" t="s">
        <v>13225</v>
      </c>
      <c r="Y931" t="s">
        <v>13226</v>
      </c>
      <c r="Z931" t="s">
        <v>13227</v>
      </c>
      <c r="AA931" t="s">
        <v>74</v>
      </c>
      <c r="AB931" t="s">
        <v>74</v>
      </c>
      <c r="AC931" t="s">
        <v>74</v>
      </c>
      <c r="AD931" t="s">
        <v>74</v>
      </c>
      <c r="AE931" t="s">
        <v>74</v>
      </c>
      <c r="AF931" t="s">
        <v>74</v>
      </c>
      <c r="AG931">
        <v>55</v>
      </c>
      <c r="AH931">
        <v>27</v>
      </c>
      <c r="AI931">
        <v>28</v>
      </c>
      <c r="AJ931">
        <v>0</v>
      </c>
      <c r="AK931">
        <v>10</v>
      </c>
      <c r="AL931" t="s">
        <v>177</v>
      </c>
      <c r="AM931" t="s">
        <v>1823</v>
      </c>
      <c r="AN931" t="s">
        <v>1824</v>
      </c>
      <c r="AO931" t="s">
        <v>1825</v>
      </c>
      <c r="AP931" t="s">
        <v>74</v>
      </c>
      <c r="AQ931" t="s">
        <v>74</v>
      </c>
      <c r="AR931" t="s">
        <v>1826</v>
      </c>
      <c r="AS931" t="s">
        <v>1827</v>
      </c>
      <c r="AT931" t="s">
        <v>12530</v>
      </c>
      <c r="AU931">
        <v>2003</v>
      </c>
      <c r="AV931">
        <v>38</v>
      </c>
      <c r="AW931">
        <v>11</v>
      </c>
      <c r="AX931" t="s">
        <v>74</v>
      </c>
      <c r="AY931" t="s">
        <v>74</v>
      </c>
      <c r="AZ931" t="s">
        <v>74</v>
      </c>
      <c r="BA931" t="s">
        <v>74</v>
      </c>
      <c r="BB931">
        <v>1627</v>
      </c>
      <c r="BC931">
        <v>1640</v>
      </c>
      <c r="BD931" t="s">
        <v>74</v>
      </c>
      <c r="BE931" t="s">
        <v>13228</v>
      </c>
      <c r="BF931" t="str">
        <f>HYPERLINK("http://dx.doi.org/10.1111/j.1945-5100.2003.tb00005.x","http://dx.doi.org/10.1111/j.1945-5100.2003.tb00005.x")</f>
        <v>http://dx.doi.org/10.1111/j.1945-5100.2003.tb00005.x</v>
      </c>
      <c r="BG931" t="s">
        <v>74</v>
      </c>
      <c r="BH931" t="s">
        <v>74</v>
      </c>
      <c r="BI931">
        <v>14</v>
      </c>
      <c r="BJ931" t="s">
        <v>262</v>
      </c>
      <c r="BK931" t="s">
        <v>96</v>
      </c>
      <c r="BL931" t="s">
        <v>262</v>
      </c>
      <c r="BM931" t="s">
        <v>13218</v>
      </c>
      <c r="BN931" t="s">
        <v>74</v>
      </c>
      <c r="BO931" t="s">
        <v>541</v>
      </c>
      <c r="BP931" t="s">
        <v>74</v>
      </c>
      <c r="BQ931" t="s">
        <v>74</v>
      </c>
      <c r="BR931" t="s">
        <v>99</v>
      </c>
      <c r="BS931" t="s">
        <v>13229</v>
      </c>
      <c r="BT931" t="str">
        <f>HYPERLINK("https%3A%2F%2Fwww.webofscience.com%2Fwos%2Fwoscc%2Ffull-record%2FWOS:000188386600005","View Full Record in Web of Science")</f>
        <v>View Full Record in Web of Science</v>
      </c>
    </row>
    <row r="932" spans="1:72" x14ac:dyDescent="0.15">
      <c r="A932" t="s">
        <v>72</v>
      </c>
      <c r="B932" t="s">
        <v>13230</v>
      </c>
      <c r="C932" t="s">
        <v>74</v>
      </c>
      <c r="D932" t="s">
        <v>74</v>
      </c>
      <c r="E932" t="s">
        <v>74</v>
      </c>
      <c r="F932" t="s">
        <v>13230</v>
      </c>
      <c r="G932" t="s">
        <v>74</v>
      </c>
      <c r="H932" t="s">
        <v>74</v>
      </c>
      <c r="I932" t="s">
        <v>13231</v>
      </c>
      <c r="J932" t="s">
        <v>13232</v>
      </c>
      <c r="K932" t="s">
        <v>74</v>
      </c>
      <c r="L932" t="s">
        <v>74</v>
      </c>
      <c r="M932" t="s">
        <v>77</v>
      </c>
      <c r="N932" t="s">
        <v>78</v>
      </c>
      <c r="O932" t="s">
        <v>74</v>
      </c>
      <c r="P932" t="s">
        <v>74</v>
      </c>
      <c r="Q932" t="s">
        <v>74</v>
      </c>
      <c r="R932" t="s">
        <v>74</v>
      </c>
      <c r="S932" t="s">
        <v>74</v>
      </c>
      <c r="T932" t="s">
        <v>13233</v>
      </c>
      <c r="U932" t="s">
        <v>13234</v>
      </c>
      <c r="V932" t="s">
        <v>13235</v>
      </c>
      <c r="W932" t="s">
        <v>13236</v>
      </c>
      <c r="X932" t="s">
        <v>13237</v>
      </c>
      <c r="Y932" t="s">
        <v>13238</v>
      </c>
      <c r="Z932" t="s">
        <v>74</v>
      </c>
      <c r="AA932" t="s">
        <v>1023</v>
      </c>
      <c r="AB932" t="s">
        <v>13239</v>
      </c>
      <c r="AC932" t="s">
        <v>74</v>
      </c>
      <c r="AD932" t="s">
        <v>74</v>
      </c>
      <c r="AE932" t="s">
        <v>74</v>
      </c>
      <c r="AF932" t="s">
        <v>74</v>
      </c>
      <c r="AG932">
        <v>40</v>
      </c>
      <c r="AH932">
        <v>71</v>
      </c>
      <c r="AI932">
        <v>80</v>
      </c>
      <c r="AJ932">
        <v>0</v>
      </c>
      <c r="AK932">
        <v>40</v>
      </c>
      <c r="AL932" t="s">
        <v>277</v>
      </c>
      <c r="AM932" t="s">
        <v>214</v>
      </c>
      <c r="AN932" t="s">
        <v>278</v>
      </c>
      <c r="AO932" t="s">
        <v>13240</v>
      </c>
      <c r="AP932" t="s">
        <v>74</v>
      </c>
      <c r="AQ932" t="s">
        <v>74</v>
      </c>
      <c r="AR932" t="s">
        <v>13241</v>
      </c>
      <c r="AS932" t="s">
        <v>13242</v>
      </c>
      <c r="AT932" t="s">
        <v>12530</v>
      </c>
      <c r="AU932">
        <v>2003</v>
      </c>
      <c r="AV932">
        <v>20</v>
      </c>
      <c r="AW932">
        <v>11</v>
      </c>
      <c r="AX932" t="s">
        <v>74</v>
      </c>
      <c r="AY932" t="s">
        <v>74</v>
      </c>
      <c r="AZ932" t="s">
        <v>74</v>
      </c>
      <c r="BA932" t="s">
        <v>74</v>
      </c>
      <c r="BB932">
        <v>1897</v>
      </c>
      <c r="BC932">
        <v>1908</v>
      </c>
      <c r="BD932" t="s">
        <v>74</v>
      </c>
      <c r="BE932" t="s">
        <v>13243</v>
      </c>
      <c r="BF932" t="str">
        <f>HYPERLINK("http://dx.doi.org/10.1093/molbev/msg208","http://dx.doi.org/10.1093/molbev/msg208")</f>
        <v>http://dx.doi.org/10.1093/molbev/msg208</v>
      </c>
      <c r="BG932" t="s">
        <v>74</v>
      </c>
      <c r="BH932" t="s">
        <v>74</v>
      </c>
      <c r="BI932">
        <v>12</v>
      </c>
      <c r="BJ932" t="s">
        <v>9008</v>
      </c>
      <c r="BK932" t="s">
        <v>96</v>
      </c>
      <c r="BL932" t="s">
        <v>9008</v>
      </c>
      <c r="BM932" t="s">
        <v>13244</v>
      </c>
      <c r="BN932">
        <v>12885956</v>
      </c>
      <c r="BO932" t="s">
        <v>541</v>
      </c>
      <c r="BP932" t="s">
        <v>74</v>
      </c>
      <c r="BQ932" t="s">
        <v>74</v>
      </c>
      <c r="BR932" t="s">
        <v>99</v>
      </c>
      <c r="BS932" t="s">
        <v>13245</v>
      </c>
      <c r="BT932" t="str">
        <f>HYPERLINK("https%3A%2F%2Fwww.webofscience.com%2Fwos%2Fwoscc%2Ffull-record%2FWOS:000186618200018","View Full Record in Web of Science")</f>
        <v>View Full Record in Web of Science</v>
      </c>
    </row>
    <row r="933" spans="1:72" x14ac:dyDescent="0.15">
      <c r="A933" t="s">
        <v>72</v>
      </c>
      <c r="B933" t="s">
        <v>13246</v>
      </c>
      <c r="C933" t="s">
        <v>74</v>
      </c>
      <c r="D933" t="s">
        <v>74</v>
      </c>
      <c r="E933" t="s">
        <v>74</v>
      </c>
      <c r="F933" t="s">
        <v>13246</v>
      </c>
      <c r="G933" t="s">
        <v>74</v>
      </c>
      <c r="H933" t="s">
        <v>74</v>
      </c>
      <c r="I933" t="s">
        <v>13247</v>
      </c>
      <c r="J933" t="s">
        <v>13248</v>
      </c>
      <c r="K933" t="s">
        <v>74</v>
      </c>
      <c r="L933" t="s">
        <v>74</v>
      </c>
      <c r="M933" t="s">
        <v>77</v>
      </c>
      <c r="N933" t="s">
        <v>78</v>
      </c>
      <c r="O933" t="s">
        <v>74</v>
      </c>
      <c r="P933" t="s">
        <v>74</v>
      </c>
      <c r="Q933" t="s">
        <v>74</v>
      </c>
      <c r="R933" t="s">
        <v>74</v>
      </c>
      <c r="S933" t="s">
        <v>74</v>
      </c>
      <c r="T933" t="s">
        <v>74</v>
      </c>
      <c r="U933" t="s">
        <v>13249</v>
      </c>
      <c r="V933" t="s">
        <v>13250</v>
      </c>
      <c r="W933" t="s">
        <v>13251</v>
      </c>
      <c r="X933" t="s">
        <v>13252</v>
      </c>
      <c r="Y933" t="s">
        <v>13253</v>
      </c>
      <c r="Z933" t="s">
        <v>74</v>
      </c>
      <c r="AA933" t="s">
        <v>74</v>
      </c>
      <c r="AB933" t="s">
        <v>74</v>
      </c>
      <c r="AC933" t="s">
        <v>74</v>
      </c>
      <c r="AD933" t="s">
        <v>74</v>
      </c>
      <c r="AE933" t="s">
        <v>74</v>
      </c>
      <c r="AF933" t="s">
        <v>74</v>
      </c>
      <c r="AG933">
        <v>27</v>
      </c>
      <c r="AH933">
        <v>1</v>
      </c>
      <c r="AI933">
        <v>1</v>
      </c>
      <c r="AJ933">
        <v>0</v>
      </c>
      <c r="AK933">
        <v>1</v>
      </c>
      <c r="AL933" t="s">
        <v>13254</v>
      </c>
      <c r="AM933" t="s">
        <v>10208</v>
      </c>
      <c r="AN933" t="s">
        <v>13255</v>
      </c>
      <c r="AO933" t="s">
        <v>13256</v>
      </c>
      <c r="AP933" t="s">
        <v>74</v>
      </c>
      <c r="AQ933" t="s">
        <v>74</v>
      </c>
      <c r="AR933" t="s">
        <v>13257</v>
      </c>
      <c r="AS933" t="s">
        <v>13258</v>
      </c>
      <c r="AT933" t="s">
        <v>12736</v>
      </c>
      <c r="AU933">
        <v>2003</v>
      </c>
      <c r="AV933">
        <v>26</v>
      </c>
      <c r="AW933">
        <v>6</v>
      </c>
      <c r="AX933" t="s">
        <v>74</v>
      </c>
      <c r="AY933" t="s">
        <v>74</v>
      </c>
      <c r="AZ933" t="s">
        <v>74</v>
      </c>
      <c r="BA933" t="s">
        <v>74</v>
      </c>
      <c r="BB933">
        <v>597</v>
      </c>
      <c r="BC933">
        <v>611</v>
      </c>
      <c r="BD933" t="s">
        <v>74</v>
      </c>
      <c r="BE933" t="s">
        <v>13259</v>
      </c>
      <c r="BF933" t="str">
        <f>HYPERLINK("http://dx.doi.org/10.1393/ncc/i2002-10007-1","http://dx.doi.org/10.1393/ncc/i2002-10007-1")</f>
        <v>http://dx.doi.org/10.1393/ncc/i2002-10007-1</v>
      </c>
      <c r="BG933" t="s">
        <v>74</v>
      </c>
      <c r="BH933" t="s">
        <v>74</v>
      </c>
      <c r="BI933">
        <v>15</v>
      </c>
      <c r="BJ933" t="s">
        <v>74</v>
      </c>
      <c r="BK933" t="s">
        <v>96</v>
      </c>
      <c r="BL933" t="s">
        <v>74</v>
      </c>
      <c r="BM933" t="s">
        <v>13260</v>
      </c>
      <c r="BN933" t="s">
        <v>74</v>
      </c>
      <c r="BO933" t="s">
        <v>74</v>
      </c>
      <c r="BP933" t="s">
        <v>74</v>
      </c>
      <c r="BQ933" t="s">
        <v>74</v>
      </c>
      <c r="BR933" t="s">
        <v>99</v>
      </c>
      <c r="BS933" t="s">
        <v>13261</v>
      </c>
      <c r="BT933" t="str">
        <f>HYPERLINK("https%3A%2F%2Fwww.webofscience.com%2Fwos%2Fwoscc%2Ffull-record%2FWOS:000222293900002","View Full Record in Web of Science")</f>
        <v>View Full Record in Web of Science</v>
      </c>
    </row>
    <row r="934" spans="1:72" x14ac:dyDescent="0.15">
      <c r="A934" t="s">
        <v>72</v>
      </c>
      <c r="B934" t="s">
        <v>13262</v>
      </c>
      <c r="C934" t="s">
        <v>74</v>
      </c>
      <c r="D934" t="s">
        <v>74</v>
      </c>
      <c r="E934" t="s">
        <v>74</v>
      </c>
      <c r="F934" t="s">
        <v>13262</v>
      </c>
      <c r="G934" t="s">
        <v>74</v>
      </c>
      <c r="H934" t="s">
        <v>74</v>
      </c>
      <c r="I934" t="s">
        <v>13263</v>
      </c>
      <c r="J934" t="s">
        <v>1908</v>
      </c>
      <c r="K934" t="s">
        <v>74</v>
      </c>
      <c r="L934" t="s">
        <v>74</v>
      </c>
      <c r="M934" t="s">
        <v>77</v>
      </c>
      <c r="N934" t="s">
        <v>78</v>
      </c>
      <c r="O934" t="s">
        <v>74</v>
      </c>
      <c r="P934" t="s">
        <v>74</v>
      </c>
      <c r="Q934" t="s">
        <v>74</v>
      </c>
      <c r="R934" t="s">
        <v>74</v>
      </c>
      <c r="S934" t="s">
        <v>74</v>
      </c>
      <c r="T934" t="s">
        <v>74</v>
      </c>
      <c r="U934" t="s">
        <v>13264</v>
      </c>
      <c r="V934" t="s">
        <v>13265</v>
      </c>
      <c r="W934" t="s">
        <v>13266</v>
      </c>
      <c r="X934" t="s">
        <v>13267</v>
      </c>
      <c r="Y934" t="s">
        <v>13268</v>
      </c>
      <c r="Z934" t="s">
        <v>74</v>
      </c>
      <c r="AA934" t="s">
        <v>13269</v>
      </c>
      <c r="AB934" t="s">
        <v>13270</v>
      </c>
      <c r="AC934" t="s">
        <v>74</v>
      </c>
      <c r="AD934" t="s">
        <v>74</v>
      </c>
      <c r="AE934" t="s">
        <v>74</v>
      </c>
      <c r="AF934" t="s">
        <v>74</v>
      </c>
      <c r="AG934">
        <v>12</v>
      </c>
      <c r="AH934">
        <v>1</v>
      </c>
      <c r="AI934">
        <v>1</v>
      </c>
      <c r="AJ934">
        <v>0</v>
      </c>
      <c r="AK934">
        <v>3</v>
      </c>
      <c r="AL934" t="s">
        <v>1916</v>
      </c>
      <c r="AM934" t="s">
        <v>1917</v>
      </c>
      <c r="AN934" t="s">
        <v>1918</v>
      </c>
      <c r="AO934" t="s">
        <v>1919</v>
      </c>
      <c r="AP934" t="s">
        <v>74</v>
      </c>
      <c r="AQ934" t="s">
        <v>74</v>
      </c>
      <c r="AR934" t="s">
        <v>1920</v>
      </c>
      <c r="AS934" t="s">
        <v>1921</v>
      </c>
      <c r="AT934" t="s">
        <v>12736</v>
      </c>
      <c r="AU934">
        <v>2003</v>
      </c>
      <c r="AV934">
        <v>43</v>
      </c>
      <c r="AW934">
        <v>6</v>
      </c>
      <c r="AX934" t="s">
        <v>74</v>
      </c>
      <c r="AY934" t="s">
        <v>74</v>
      </c>
      <c r="AZ934" t="s">
        <v>74</v>
      </c>
      <c r="BA934" t="s">
        <v>74</v>
      </c>
      <c r="BB934">
        <v>759</v>
      </c>
      <c r="BC934">
        <v>770</v>
      </c>
      <c r="BD934" t="s">
        <v>74</v>
      </c>
      <c r="BE934" t="s">
        <v>74</v>
      </c>
      <c r="BF934" t="s">
        <v>74</v>
      </c>
      <c r="BG934" t="s">
        <v>74</v>
      </c>
      <c r="BH934" t="s">
        <v>74</v>
      </c>
      <c r="BI934">
        <v>12</v>
      </c>
      <c r="BJ934" t="s">
        <v>477</v>
      </c>
      <c r="BK934" t="s">
        <v>96</v>
      </c>
      <c r="BL934" t="s">
        <v>477</v>
      </c>
      <c r="BM934" t="s">
        <v>13271</v>
      </c>
      <c r="BN934" t="s">
        <v>74</v>
      </c>
      <c r="BO934" t="s">
        <v>74</v>
      </c>
      <c r="BP934" t="s">
        <v>74</v>
      </c>
      <c r="BQ934" t="s">
        <v>74</v>
      </c>
      <c r="BR934" t="s">
        <v>99</v>
      </c>
      <c r="BS934" t="s">
        <v>13272</v>
      </c>
      <c r="BT934" t="str">
        <f>HYPERLINK("https%3A%2F%2Fwww.webofscience.com%2Fwos%2Fwoscc%2Ffull-record%2FWOS:000187665000001","View Full Record in Web of Science")</f>
        <v>View Full Record in Web of Science</v>
      </c>
    </row>
    <row r="935" spans="1:72" x14ac:dyDescent="0.15">
      <c r="A935" t="s">
        <v>72</v>
      </c>
      <c r="B935" t="s">
        <v>13273</v>
      </c>
      <c r="C935" t="s">
        <v>74</v>
      </c>
      <c r="D935" t="s">
        <v>74</v>
      </c>
      <c r="E935" t="s">
        <v>74</v>
      </c>
      <c r="F935" t="s">
        <v>13273</v>
      </c>
      <c r="G935" t="s">
        <v>74</v>
      </c>
      <c r="H935" t="s">
        <v>74</v>
      </c>
      <c r="I935" t="s">
        <v>13274</v>
      </c>
      <c r="J935" t="s">
        <v>1908</v>
      </c>
      <c r="K935" t="s">
        <v>74</v>
      </c>
      <c r="L935" t="s">
        <v>74</v>
      </c>
      <c r="M935" t="s">
        <v>77</v>
      </c>
      <c r="N935" t="s">
        <v>78</v>
      </c>
      <c r="O935" t="s">
        <v>74</v>
      </c>
      <c r="P935" t="s">
        <v>74</v>
      </c>
      <c r="Q935" t="s">
        <v>74</v>
      </c>
      <c r="R935" t="s">
        <v>74</v>
      </c>
      <c r="S935" t="s">
        <v>74</v>
      </c>
      <c r="T935" t="s">
        <v>74</v>
      </c>
      <c r="U935" t="s">
        <v>13275</v>
      </c>
      <c r="V935" t="s">
        <v>13276</v>
      </c>
      <c r="W935" t="s">
        <v>13277</v>
      </c>
      <c r="X935" t="s">
        <v>9261</v>
      </c>
      <c r="Y935" t="s">
        <v>13278</v>
      </c>
      <c r="Z935" t="s">
        <v>74</v>
      </c>
      <c r="AA935" t="s">
        <v>13279</v>
      </c>
      <c r="AB935" t="s">
        <v>13280</v>
      </c>
      <c r="AC935" t="s">
        <v>74</v>
      </c>
      <c r="AD935" t="s">
        <v>74</v>
      </c>
      <c r="AE935" t="s">
        <v>74</v>
      </c>
      <c r="AF935" t="s">
        <v>74</v>
      </c>
      <c r="AG935">
        <v>16</v>
      </c>
      <c r="AH935">
        <v>1</v>
      </c>
      <c r="AI935">
        <v>2</v>
      </c>
      <c r="AJ935">
        <v>0</v>
      </c>
      <c r="AK935">
        <v>0</v>
      </c>
      <c r="AL935" t="s">
        <v>1916</v>
      </c>
      <c r="AM935" t="s">
        <v>1917</v>
      </c>
      <c r="AN935" t="s">
        <v>1918</v>
      </c>
      <c r="AO935" t="s">
        <v>1919</v>
      </c>
      <c r="AP935" t="s">
        <v>74</v>
      </c>
      <c r="AQ935" t="s">
        <v>74</v>
      </c>
      <c r="AR935" t="s">
        <v>1920</v>
      </c>
      <c r="AS935" t="s">
        <v>1921</v>
      </c>
      <c r="AT935" t="s">
        <v>12736</v>
      </c>
      <c r="AU935">
        <v>2003</v>
      </c>
      <c r="AV935">
        <v>43</v>
      </c>
      <c r="AW935">
        <v>6</v>
      </c>
      <c r="AX935" t="s">
        <v>74</v>
      </c>
      <c r="AY935" t="s">
        <v>74</v>
      </c>
      <c r="AZ935" t="s">
        <v>74</v>
      </c>
      <c r="BA935" t="s">
        <v>74</v>
      </c>
      <c r="BB935">
        <v>779</v>
      </c>
      <c r="BC935">
        <v>785</v>
      </c>
      <c r="BD935" t="s">
        <v>74</v>
      </c>
      <c r="BE935" t="s">
        <v>74</v>
      </c>
      <c r="BF935" t="s">
        <v>74</v>
      </c>
      <c r="BG935" t="s">
        <v>74</v>
      </c>
      <c r="BH935" t="s">
        <v>74</v>
      </c>
      <c r="BI935">
        <v>7</v>
      </c>
      <c r="BJ935" t="s">
        <v>477</v>
      </c>
      <c r="BK935" t="s">
        <v>96</v>
      </c>
      <c r="BL935" t="s">
        <v>477</v>
      </c>
      <c r="BM935" t="s">
        <v>13271</v>
      </c>
      <c r="BN935" t="s">
        <v>74</v>
      </c>
      <c r="BO935" t="s">
        <v>74</v>
      </c>
      <c r="BP935" t="s">
        <v>74</v>
      </c>
      <c r="BQ935" t="s">
        <v>74</v>
      </c>
      <c r="BR935" t="s">
        <v>99</v>
      </c>
      <c r="BS935" t="s">
        <v>13281</v>
      </c>
      <c r="BT935" t="str">
        <f>HYPERLINK("https%3A%2F%2Fwww.webofscience.com%2Fwos%2Fwoscc%2Ffull-record%2FWOS:000187665000003","View Full Record in Web of Science")</f>
        <v>View Full Record in Web of Science</v>
      </c>
    </row>
    <row r="936" spans="1:72" x14ac:dyDescent="0.15">
      <c r="A936" t="s">
        <v>72</v>
      </c>
      <c r="B936" t="s">
        <v>13282</v>
      </c>
      <c r="C936" t="s">
        <v>74</v>
      </c>
      <c r="D936" t="s">
        <v>74</v>
      </c>
      <c r="E936" t="s">
        <v>74</v>
      </c>
      <c r="F936" t="s">
        <v>13282</v>
      </c>
      <c r="G936" t="s">
        <v>74</v>
      </c>
      <c r="H936" t="s">
        <v>74</v>
      </c>
      <c r="I936" t="s">
        <v>13283</v>
      </c>
      <c r="J936" t="s">
        <v>1908</v>
      </c>
      <c r="K936" t="s">
        <v>74</v>
      </c>
      <c r="L936" t="s">
        <v>74</v>
      </c>
      <c r="M936" t="s">
        <v>77</v>
      </c>
      <c r="N936" t="s">
        <v>78</v>
      </c>
      <c r="O936" t="s">
        <v>74</v>
      </c>
      <c r="P936" t="s">
        <v>74</v>
      </c>
      <c r="Q936" t="s">
        <v>74</v>
      </c>
      <c r="R936" t="s">
        <v>74</v>
      </c>
      <c r="S936" t="s">
        <v>74</v>
      </c>
      <c r="T936" t="s">
        <v>74</v>
      </c>
      <c r="U936" t="s">
        <v>13284</v>
      </c>
      <c r="V936" t="s">
        <v>13285</v>
      </c>
      <c r="W936" t="s">
        <v>13277</v>
      </c>
      <c r="X936" t="s">
        <v>9261</v>
      </c>
      <c r="Y936" t="s">
        <v>13286</v>
      </c>
      <c r="Z936" t="s">
        <v>74</v>
      </c>
      <c r="AA936" t="s">
        <v>74</v>
      </c>
      <c r="AB936" t="s">
        <v>74</v>
      </c>
      <c r="AC936" t="s">
        <v>74</v>
      </c>
      <c r="AD936" t="s">
        <v>74</v>
      </c>
      <c r="AE936" t="s">
        <v>74</v>
      </c>
      <c r="AF936" t="s">
        <v>74</v>
      </c>
      <c r="AG936">
        <v>43</v>
      </c>
      <c r="AH936">
        <v>1</v>
      </c>
      <c r="AI936">
        <v>2</v>
      </c>
      <c r="AJ936">
        <v>0</v>
      </c>
      <c r="AK936">
        <v>6</v>
      </c>
      <c r="AL936" t="s">
        <v>6925</v>
      </c>
      <c r="AM936" t="s">
        <v>87</v>
      </c>
      <c r="AN936" t="s">
        <v>6926</v>
      </c>
      <c r="AO936" t="s">
        <v>1919</v>
      </c>
      <c r="AP936" t="s">
        <v>13287</v>
      </c>
      <c r="AQ936" t="s">
        <v>74</v>
      </c>
      <c r="AR936" t="s">
        <v>1920</v>
      </c>
      <c r="AS936" t="s">
        <v>1921</v>
      </c>
      <c r="AT936" t="s">
        <v>12736</v>
      </c>
      <c r="AU936">
        <v>2003</v>
      </c>
      <c r="AV936">
        <v>43</v>
      </c>
      <c r="AW936">
        <v>6</v>
      </c>
      <c r="AX936" t="s">
        <v>74</v>
      </c>
      <c r="AY936" t="s">
        <v>74</v>
      </c>
      <c r="AZ936" t="s">
        <v>74</v>
      </c>
      <c r="BA936" t="s">
        <v>74</v>
      </c>
      <c r="BB936">
        <v>832</v>
      </c>
      <c r="BC936">
        <v>839</v>
      </c>
      <c r="BD936" t="s">
        <v>74</v>
      </c>
      <c r="BE936" t="s">
        <v>74</v>
      </c>
      <c r="BF936" t="s">
        <v>74</v>
      </c>
      <c r="BG936" t="s">
        <v>74</v>
      </c>
      <c r="BH936" t="s">
        <v>74</v>
      </c>
      <c r="BI936">
        <v>8</v>
      </c>
      <c r="BJ936" t="s">
        <v>477</v>
      </c>
      <c r="BK936" t="s">
        <v>96</v>
      </c>
      <c r="BL936" t="s">
        <v>477</v>
      </c>
      <c r="BM936" t="s">
        <v>13271</v>
      </c>
      <c r="BN936" t="s">
        <v>74</v>
      </c>
      <c r="BO936" t="s">
        <v>74</v>
      </c>
      <c r="BP936" t="s">
        <v>74</v>
      </c>
      <c r="BQ936" t="s">
        <v>74</v>
      </c>
      <c r="BR936" t="s">
        <v>99</v>
      </c>
      <c r="BS936" t="s">
        <v>13288</v>
      </c>
      <c r="BT936" t="str">
        <f>HYPERLINK("https%3A%2F%2Fwww.webofscience.com%2Fwos%2Fwoscc%2Ffull-record%2FWOS:000187665000010","View Full Record in Web of Science")</f>
        <v>View Full Record in Web of Science</v>
      </c>
    </row>
    <row r="937" spans="1:72" x14ac:dyDescent="0.15">
      <c r="A937" t="s">
        <v>72</v>
      </c>
      <c r="B937" t="s">
        <v>13289</v>
      </c>
      <c r="C937" t="s">
        <v>74</v>
      </c>
      <c r="D937" t="s">
        <v>74</v>
      </c>
      <c r="E937" t="s">
        <v>74</v>
      </c>
      <c r="F937" t="s">
        <v>13289</v>
      </c>
      <c r="G937" t="s">
        <v>74</v>
      </c>
      <c r="H937" t="s">
        <v>74</v>
      </c>
      <c r="I937" t="s">
        <v>13290</v>
      </c>
      <c r="J937" t="s">
        <v>13291</v>
      </c>
      <c r="K937" t="s">
        <v>74</v>
      </c>
      <c r="L937" t="s">
        <v>74</v>
      </c>
      <c r="M937" t="s">
        <v>77</v>
      </c>
      <c r="N937" t="s">
        <v>78</v>
      </c>
      <c r="O937" t="s">
        <v>74</v>
      </c>
      <c r="P937" t="s">
        <v>74</v>
      </c>
      <c r="Q937" t="s">
        <v>74</v>
      </c>
      <c r="R937" t="s">
        <v>74</v>
      </c>
      <c r="S937" t="s">
        <v>74</v>
      </c>
      <c r="T937" t="s">
        <v>74</v>
      </c>
      <c r="U937" t="s">
        <v>13292</v>
      </c>
      <c r="V937" t="s">
        <v>13293</v>
      </c>
      <c r="W937" t="s">
        <v>13294</v>
      </c>
      <c r="X937" t="s">
        <v>13295</v>
      </c>
      <c r="Y937" t="s">
        <v>13296</v>
      </c>
      <c r="Z937" t="s">
        <v>74</v>
      </c>
      <c r="AA937" t="s">
        <v>74</v>
      </c>
      <c r="AB937" t="s">
        <v>13297</v>
      </c>
      <c r="AC937" t="s">
        <v>74</v>
      </c>
      <c r="AD937" t="s">
        <v>74</v>
      </c>
      <c r="AE937" t="s">
        <v>74</v>
      </c>
      <c r="AF937" t="s">
        <v>74</v>
      </c>
      <c r="AG937">
        <v>60</v>
      </c>
      <c r="AH937">
        <v>82</v>
      </c>
      <c r="AI937">
        <v>90</v>
      </c>
      <c r="AJ937">
        <v>0</v>
      </c>
      <c r="AK937">
        <v>9</v>
      </c>
      <c r="AL937" t="s">
        <v>3779</v>
      </c>
      <c r="AM937" t="s">
        <v>3780</v>
      </c>
      <c r="AN937" t="s">
        <v>13298</v>
      </c>
      <c r="AO937" t="s">
        <v>13299</v>
      </c>
      <c r="AP937" t="s">
        <v>74</v>
      </c>
      <c r="AQ937" t="s">
        <v>74</v>
      </c>
      <c r="AR937" t="s">
        <v>13300</v>
      </c>
      <c r="AS937" t="s">
        <v>13301</v>
      </c>
      <c r="AT937" t="s">
        <v>12530</v>
      </c>
      <c r="AU937">
        <v>2003</v>
      </c>
      <c r="AV937">
        <v>15</v>
      </c>
      <c r="AW937">
        <v>11</v>
      </c>
      <c r="AX937" t="s">
        <v>74</v>
      </c>
      <c r="AY937" t="s">
        <v>74</v>
      </c>
      <c r="AZ937" t="s">
        <v>74</v>
      </c>
      <c r="BA937" t="s">
        <v>74</v>
      </c>
      <c r="BB937">
        <v>3342</v>
      </c>
      <c r="BC937">
        <v>3357</v>
      </c>
      <c r="BD937" t="s">
        <v>74</v>
      </c>
      <c r="BE937" t="s">
        <v>13302</v>
      </c>
      <c r="BF937" t="str">
        <f>HYPERLINK("http://dx.doi.org/10.1063/1.1610471","http://dx.doi.org/10.1063/1.1610471")</f>
        <v>http://dx.doi.org/10.1063/1.1610471</v>
      </c>
      <c r="BG937" t="s">
        <v>74</v>
      </c>
      <c r="BH937" t="s">
        <v>74</v>
      </c>
      <c r="BI937">
        <v>16</v>
      </c>
      <c r="BJ937" t="s">
        <v>776</v>
      </c>
      <c r="BK937" t="s">
        <v>96</v>
      </c>
      <c r="BL937" t="s">
        <v>777</v>
      </c>
      <c r="BM937" t="s">
        <v>13303</v>
      </c>
      <c r="BN937" t="s">
        <v>74</v>
      </c>
      <c r="BO937" t="s">
        <v>74</v>
      </c>
      <c r="BP937" t="s">
        <v>74</v>
      </c>
      <c r="BQ937" t="s">
        <v>74</v>
      </c>
      <c r="BR937" t="s">
        <v>99</v>
      </c>
      <c r="BS937" t="s">
        <v>13304</v>
      </c>
      <c r="BT937" t="str">
        <f>HYPERLINK("https%3A%2F%2Fwww.webofscience.com%2Fwos%2Fwoscc%2Ffull-record%2FWOS:000185865700010","View Full Record in Web of Science")</f>
        <v>View Full Record in Web of Science</v>
      </c>
    </row>
    <row r="938" spans="1:72" x14ac:dyDescent="0.15">
      <c r="A938" t="s">
        <v>72</v>
      </c>
      <c r="B938" t="s">
        <v>13305</v>
      </c>
      <c r="C938" t="s">
        <v>74</v>
      </c>
      <c r="D938" t="s">
        <v>74</v>
      </c>
      <c r="E938" t="s">
        <v>74</v>
      </c>
      <c r="F938" t="s">
        <v>13305</v>
      </c>
      <c r="G938" t="s">
        <v>74</v>
      </c>
      <c r="H938" t="s">
        <v>74</v>
      </c>
      <c r="I938" t="s">
        <v>13306</v>
      </c>
      <c r="J938" t="s">
        <v>76</v>
      </c>
      <c r="K938" t="s">
        <v>74</v>
      </c>
      <c r="L938" t="s">
        <v>74</v>
      </c>
      <c r="M938" t="s">
        <v>77</v>
      </c>
      <c r="N938" t="s">
        <v>78</v>
      </c>
      <c r="O938" t="s">
        <v>74</v>
      </c>
      <c r="P938" t="s">
        <v>74</v>
      </c>
      <c r="Q938" t="s">
        <v>74</v>
      </c>
      <c r="R938" t="s">
        <v>74</v>
      </c>
      <c r="S938" t="s">
        <v>74</v>
      </c>
      <c r="T938" t="s">
        <v>74</v>
      </c>
      <c r="U938" t="s">
        <v>13307</v>
      </c>
      <c r="V938" t="s">
        <v>13308</v>
      </c>
      <c r="W938" t="s">
        <v>13309</v>
      </c>
      <c r="X938" t="s">
        <v>13310</v>
      </c>
      <c r="Y938" t="s">
        <v>74</v>
      </c>
      <c r="Z938" t="s">
        <v>13311</v>
      </c>
      <c r="AA938" t="s">
        <v>13312</v>
      </c>
      <c r="AB938" t="s">
        <v>13313</v>
      </c>
      <c r="AC938" t="s">
        <v>74</v>
      </c>
      <c r="AD938" t="s">
        <v>74</v>
      </c>
      <c r="AE938" t="s">
        <v>74</v>
      </c>
      <c r="AF938" t="s">
        <v>74</v>
      </c>
      <c r="AG938">
        <v>54</v>
      </c>
      <c r="AH938">
        <v>17</v>
      </c>
      <c r="AI938">
        <v>20</v>
      </c>
      <c r="AJ938">
        <v>0</v>
      </c>
      <c r="AK938">
        <v>5</v>
      </c>
      <c r="AL938" t="s">
        <v>86</v>
      </c>
      <c r="AM938" t="s">
        <v>87</v>
      </c>
      <c r="AN938" t="s">
        <v>88</v>
      </c>
      <c r="AO938" t="s">
        <v>89</v>
      </c>
      <c r="AP938" t="s">
        <v>90</v>
      </c>
      <c r="AQ938" t="s">
        <v>74</v>
      </c>
      <c r="AR938" t="s">
        <v>91</v>
      </c>
      <c r="AS938" t="s">
        <v>92</v>
      </c>
      <c r="AT938" t="s">
        <v>12530</v>
      </c>
      <c r="AU938">
        <v>2003</v>
      </c>
      <c r="AV938">
        <v>26</v>
      </c>
      <c r="AW938">
        <v>11</v>
      </c>
      <c r="AX938" t="s">
        <v>74</v>
      </c>
      <c r="AY938" t="s">
        <v>74</v>
      </c>
      <c r="AZ938" t="s">
        <v>74</v>
      </c>
      <c r="BA938" t="s">
        <v>74</v>
      </c>
      <c r="BB938">
        <v>691</v>
      </c>
      <c r="BC938">
        <v>699</v>
      </c>
      <c r="BD938" t="s">
        <v>74</v>
      </c>
      <c r="BE938" t="s">
        <v>13314</v>
      </c>
      <c r="BF938" t="str">
        <f>HYPERLINK("http://dx.doi.org/10.1007/s00300-003-0539-3","http://dx.doi.org/10.1007/s00300-003-0539-3")</f>
        <v>http://dx.doi.org/10.1007/s00300-003-0539-3</v>
      </c>
      <c r="BG938" t="s">
        <v>74</v>
      </c>
      <c r="BH938" t="s">
        <v>74</v>
      </c>
      <c r="BI938">
        <v>9</v>
      </c>
      <c r="BJ938" t="s">
        <v>95</v>
      </c>
      <c r="BK938" t="s">
        <v>96</v>
      </c>
      <c r="BL938" t="s">
        <v>97</v>
      </c>
      <c r="BM938" t="s">
        <v>13315</v>
      </c>
      <c r="BN938" t="s">
        <v>74</v>
      </c>
      <c r="BO938" t="s">
        <v>74</v>
      </c>
      <c r="BP938" t="s">
        <v>74</v>
      </c>
      <c r="BQ938" t="s">
        <v>74</v>
      </c>
      <c r="BR938" t="s">
        <v>99</v>
      </c>
      <c r="BS938" t="s">
        <v>13316</v>
      </c>
      <c r="BT938" t="str">
        <f>HYPERLINK("https%3A%2F%2Fwww.webofscience.com%2Fwos%2Fwoscc%2Ffull-record%2FWOS:000186202700001","View Full Record in Web of Science")</f>
        <v>View Full Record in Web of Science</v>
      </c>
    </row>
    <row r="939" spans="1:72" x14ac:dyDescent="0.15">
      <c r="A939" t="s">
        <v>72</v>
      </c>
      <c r="B939" t="s">
        <v>13317</v>
      </c>
      <c r="C939" t="s">
        <v>74</v>
      </c>
      <c r="D939" t="s">
        <v>74</v>
      </c>
      <c r="E939" t="s">
        <v>74</v>
      </c>
      <c r="F939" t="s">
        <v>13317</v>
      </c>
      <c r="G939" t="s">
        <v>74</v>
      </c>
      <c r="H939" t="s">
        <v>74</v>
      </c>
      <c r="I939" t="s">
        <v>13318</v>
      </c>
      <c r="J939" t="s">
        <v>76</v>
      </c>
      <c r="K939" t="s">
        <v>74</v>
      </c>
      <c r="L939" t="s">
        <v>74</v>
      </c>
      <c r="M939" t="s">
        <v>77</v>
      </c>
      <c r="N939" t="s">
        <v>78</v>
      </c>
      <c r="O939" t="s">
        <v>74</v>
      </c>
      <c r="P939" t="s">
        <v>74</v>
      </c>
      <c r="Q939" t="s">
        <v>74</v>
      </c>
      <c r="R939" t="s">
        <v>74</v>
      </c>
      <c r="S939" t="s">
        <v>74</v>
      </c>
      <c r="T939" t="s">
        <v>74</v>
      </c>
      <c r="U939" t="s">
        <v>13319</v>
      </c>
      <c r="V939" t="s">
        <v>13320</v>
      </c>
      <c r="W939" t="s">
        <v>13321</v>
      </c>
      <c r="X939" t="s">
        <v>1966</v>
      </c>
      <c r="Y939" t="s">
        <v>13322</v>
      </c>
      <c r="Z939" t="s">
        <v>74</v>
      </c>
      <c r="AA939" t="s">
        <v>13323</v>
      </c>
      <c r="AB939" t="s">
        <v>13324</v>
      </c>
      <c r="AC939" t="s">
        <v>74</v>
      </c>
      <c r="AD939" t="s">
        <v>74</v>
      </c>
      <c r="AE939" t="s">
        <v>74</v>
      </c>
      <c r="AF939" t="s">
        <v>74</v>
      </c>
      <c r="AG939">
        <v>46</v>
      </c>
      <c r="AH939">
        <v>32</v>
      </c>
      <c r="AI939">
        <v>38</v>
      </c>
      <c r="AJ939">
        <v>1</v>
      </c>
      <c r="AK939">
        <v>17</v>
      </c>
      <c r="AL939" t="s">
        <v>123</v>
      </c>
      <c r="AM939" t="s">
        <v>87</v>
      </c>
      <c r="AN939" t="s">
        <v>124</v>
      </c>
      <c r="AO939" t="s">
        <v>89</v>
      </c>
      <c r="AP939" t="s">
        <v>74</v>
      </c>
      <c r="AQ939" t="s">
        <v>74</v>
      </c>
      <c r="AR939" t="s">
        <v>91</v>
      </c>
      <c r="AS939" t="s">
        <v>92</v>
      </c>
      <c r="AT939" t="s">
        <v>12530</v>
      </c>
      <c r="AU939">
        <v>2003</v>
      </c>
      <c r="AV939">
        <v>26</v>
      </c>
      <c r="AW939">
        <v>11</v>
      </c>
      <c r="AX939" t="s">
        <v>74</v>
      </c>
      <c r="AY939" t="s">
        <v>74</v>
      </c>
      <c r="AZ939" t="s">
        <v>74</v>
      </c>
      <c r="BA939" t="s">
        <v>74</v>
      </c>
      <c r="BB939">
        <v>720</v>
      </c>
      <c r="BC939">
        <v>726</v>
      </c>
      <c r="BD939" t="s">
        <v>74</v>
      </c>
      <c r="BE939" t="s">
        <v>13325</v>
      </c>
      <c r="BF939" t="str">
        <f>HYPERLINK("http://dx.doi.org/10.1007/s00300-003-0541-9","http://dx.doi.org/10.1007/s00300-003-0541-9")</f>
        <v>http://dx.doi.org/10.1007/s00300-003-0541-9</v>
      </c>
      <c r="BG939" t="s">
        <v>74</v>
      </c>
      <c r="BH939" t="s">
        <v>74</v>
      </c>
      <c r="BI939">
        <v>7</v>
      </c>
      <c r="BJ939" t="s">
        <v>95</v>
      </c>
      <c r="BK939" t="s">
        <v>96</v>
      </c>
      <c r="BL939" t="s">
        <v>97</v>
      </c>
      <c r="BM939" t="s">
        <v>13315</v>
      </c>
      <c r="BN939" t="s">
        <v>74</v>
      </c>
      <c r="BO939" t="s">
        <v>156</v>
      </c>
      <c r="BP939" t="s">
        <v>74</v>
      </c>
      <c r="BQ939" t="s">
        <v>74</v>
      </c>
      <c r="BR939" t="s">
        <v>99</v>
      </c>
      <c r="BS939" t="s">
        <v>13326</v>
      </c>
      <c r="BT939" t="str">
        <f>HYPERLINK("https%3A%2F%2Fwww.webofscience.com%2Fwos%2Fwoscc%2Ffull-record%2FWOS:000186202700004","View Full Record in Web of Science")</f>
        <v>View Full Record in Web of Science</v>
      </c>
    </row>
    <row r="940" spans="1:72" x14ac:dyDescent="0.15">
      <c r="A940" t="s">
        <v>72</v>
      </c>
      <c r="B940" t="s">
        <v>13327</v>
      </c>
      <c r="C940" t="s">
        <v>74</v>
      </c>
      <c r="D940" t="s">
        <v>74</v>
      </c>
      <c r="E940" t="s">
        <v>74</v>
      </c>
      <c r="F940" t="s">
        <v>13327</v>
      </c>
      <c r="G940" t="s">
        <v>74</v>
      </c>
      <c r="H940" t="s">
        <v>74</v>
      </c>
      <c r="I940" t="s">
        <v>13328</v>
      </c>
      <c r="J940" t="s">
        <v>76</v>
      </c>
      <c r="K940" t="s">
        <v>74</v>
      </c>
      <c r="L940" t="s">
        <v>74</v>
      </c>
      <c r="M940" t="s">
        <v>77</v>
      </c>
      <c r="N940" t="s">
        <v>78</v>
      </c>
      <c r="O940" t="s">
        <v>74</v>
      </c>
      <c r="P940" t="s">
        <v>74</v>
      </c>
      <c r="Q940" t="s">
        <v>74</v>
      </c>
      <c r="R940" t="s">
        <v>74</v>
      </c>
      <c r="S940" t="s">
        <v>74</v>
      </c>
      <c r="T940" t="s">
        <v>74</v>
      </c>
      <c r="U940" t="s">
        <v>13329</v>
      </c>
      <c r="V940" t="s">
        <v>13330</v>
      </c>
      <c r="W940" t="s">
        <v>13331</v>
      </c>
      <c r="X940" t="s">
        <v>13332</v>
      </c>
      <c r="Y940" t="s">
        <v>13333</v>
      </c>
      <c r="Z940" t="s">
        <v>74</v>
      </c>
      <c r="AA940" t="s">
        <v>74</v>
      </c>
      <c r="AB940" t="s">
        <v>74</v>
      </c>
      <c r="AC940" t="s">
        <v>74</v>
      </c>
      <c r="AD940" t="s">
        <v>74</v>
      </c>
      <c r="AE940" t="s">
        <v>74</v>
      </c>
      <c r="AF940" t="s">
        <v>74</v>
      </c>
      <c r="AG940">
        <v>35</v>
      </c>
      <c r="AH940">
        <v>25</v>
      </c>
      <c r="AI940">
        <v>25</v>
      </c>
      <c r="AJ940">
        <v>0</v>
      </c>
      <c r="AK940">
        <v>10</v>
      </c>
      <c r="AL940" t="s">
        <v>123</v>
      </c>
      <c r="AM940" t="s">
        <v>87</v>
      </c>
      <c r="AN940" t="s">
        <v>124</v>
      </c>
      <c r="AO940" t="s">
        <v>89</v>
      </c>
      <c r="AP940" t="s">
        <v>74</v>
      </c>
      <c r="AQ940" t="s">
        <v>74</v>
      </c>
      <c r="AR940" t="s">
        <v>91</v>
      </c>
      <c r="AS940" t="s">
        <v>92</v>
      </c>
      <c r="AT940" t="s">
        <v>12530</v>
      </c>
      <c r="AU940">
        <v>2003</v>
      </c>
      <c r="AV940">
        <v>26</v>
      </c>
      <c r="AW940">
        <v>11</v>
      </c>
      <c r="AX940" t="s">
        <v>74</v>
      </c>
      <c r="AY940" t="s">
        <v>74</v>
      </c>
      <c r="AZ940" t="s">
        <v>74</v>
      </c>
      <c r="BA940" t="s">
        <v>74</v>
      </c>
      <c r="BB940">
        <v>727</v>
      </c>
      <c r="BC940">
        <v>733</v>
      </c>
      <c r="BD940" t="s">
        <v>74</v>
      </c>
      <c r="BE940" t="s">
        <v>13334</v>
      </c>
      <c r="BF940" t="str">
        <f>HYPERLINK("http://dx.doi.org/10.1007/s00300-003-0548-2","http://dx.doi.org/10.1007/s00300-003-0548-2")</f>
        <v>http://dx.doi.org/10.1007/s00300-003-0548-2</v>
      </c>
      <c r="BG940" t="s">
        <v>74</v>
      </c>
      <c r="BH940" t="s">
        <v>74</v>
      </c>
      <c r="BI940">
        <v>7</v>
      </c>
      <c r="BJ940" t="s">
        <v>95</v>
      </c>
      <c r="BK940" t="s">
        <v>96</v>
      </c>
      <c r="BL940" t="s">
        <v>97</v>
      </c>
      <c r="BM940" t="s">
        <v>13315</v>
      </c>
      <c r="BN940" t="s">
        <v>74</v>
      </c>
      <c r="BO940" t="s">
        <v>74</v>
      </c>
      <c r="BP940" t="s">
        <v>74</v>
      </c>
      <c r="BQ940" t="s">
        <v>74</v>
      </c>
      <c r="BR940" t="s">
        <v>99</v>
      </c>
      <c r="BS940" t="s">
        <v>13335</v>
      </c>
      <c r="BT940" t="str">
        <f>HYPERLINK("https%3A%2F%2Fwww.webofscience.com%2Fwos%2Fwoscc%2Ffull-record%2FWOS:000186202700005","View Full Record in Web of Science")</f>
        <v>View Full Record in Web of Science</v>
      </c>
    </row>
    <row r="941" spans="1:72" x14ac:dyDescent="0.15">
      <c r="A941" t="s">
        <v>72</v>
      </c>
      <c r="B941" t="s">
        <v>13336</v>
      </c>
      <c r="C941" t="s">
        <v>74</v>
      </c>
      <c r="D941" t="s">
        <v>74</v>
      </c>
      <c r="E941" t="s">
        <v>74</v>
      </c>
      <c r="F941" t="s">
        <v>13336</v>
      </c>
      <c r="G941" t="s">
        <v>74</v>
      </c>
      <c r="H941" t="s">
        <v>74</v>
      </c>
      <c r="I941" t="s">
        <v>13337</v>
      </c>
      <c r="J941" t="s">
        <v>76</v>
      </c>
      <c r="K941" t="s">
        <v>74</v>
      </c>
      <c r="L941" t="s">
        <v>74</v>
      </c>
      <c r="M941" t="s">
        <v>77</v>
      </c>
      <c r="N941" t="s">
        <v>78</v>
      </c>
      <c r="O941" t="s">
        <v>74</v>
      </c>
      <c r="P941" t="s">
        <v>74</v>
      </c>
      <c r="Q941" t="s">
        <v>74</v>
      </c>
      <c r="R941" t="s">
        <v>74</v>
      </c>
      <c r="S941" t="s">
        <v>74</v>
      </c>
      <c r="T941" t="s">
        <v>74</v>
      </c>
      <c r="U941" t="s">
        <v>13338</v>
      </c>
      <c r="V941" t="s">
        <v>13339</v>
      </c>
      <c r="W941" t="s">
        <v>13340</v>
      </c>
      <c r="X941" t="s">
        <v>13341</v>
      </c>
      <c r="Y941" t="s">
        <v>13342</v>
      </c>
      <c r="Z941" t="s">
        <v>74</v>
      </c>
      <c r="AA941" t="s">
        <v>13343</v>
      </c>
      <c r="AB941" t="s">
        <v>13344</v>
      </c>
      <c r="AC941" t="s">
        <v>74</v>
      </c>
      <c r="AD941" t="s">
        <v>74</v>
      </c>
      <c r="AE941" t="s">
        <v>74</v>
      </c>
      <c r="AF941" t="s">
        <v>74</v>
      </c>
      <c r="AG941">
        <v>57</v>
      </c>
      <c r="AH941">
        <v>3</v>
      </c>
      <c r="AI941">
        <v>5</v>
      </c>
      <c r="AJ941">
        <v>0</v>
      </c>
      <c r="AK941">
        <v>10</v>
      </c>
      <c r="AL941" t="s">
        <v>123</v>
      </c>
      <c r="AM941" t="s">
        <v>87</v>
      </c>
      <c r="AN941" t="s">
        <v>124</v>
      </c>
      <c r="AO941" t="s">
        <v>89</v>
      </c>
      <c r="AP941" t="s">
        <v>74</v>
      </c>
      <c r="AQ941" t="s">
        <v>74</v>
      </c>
      <c r="AR941" t="s">
        <v>91</v>
      </c>
      <c r="AS941" t="s">
        <v>92</v>
      </c>
      <c r="AT941" t="s">
        <v>12530</v>
      </c>
      <c r="AU941">
        <v>2003</v>
      </c>
      <c r="AV941">
        <v>26</v>
      </c>
      <c r="AW941">
        <v>11</v>
      </c>
      <c r="AX941" t="s">
        <v>74</v>
      </c>
      <c r="AY941" t="s">
        <v>74</v>
      </c>
      <c r="AZ941" t="s">
        <v>74</v>
      </c>
      <c r="BA941" t="s">
        <v>74</v>
      </c>
      <c r="BB941">
        <v>734</v>
      </c>
      <c r="BC941">
        <v>745</v>
      </c>
      <c r="BD941" t="s">
        <v>74</v>
      </c>
      <c r="BE941" t="s">
        <v>13345</v>
      </c>
      <c r="BF941" t="str">
        <f>HYPERLINK("http://dx.doi.org/10.1007/s00300-003-0545-5","http://dx.doi.org/10.1007/s00300-003-0545-5")</f>
        <v>http://dx.doi.org/10.1007/s00300-003-0545-5</v>
      </c>
      <c r="BG941" t="s">
        <v>74</v>
      </c>
      <c r="BH941" t="s">
        <v>74</v>
      </c>
      <c r="BI941">
        <v>12</v>
      </c>
      <c r="BJ941" t="s">
        <v>95</v>
      </c>
      <c r="BK941" t="s">
        <v>96</v>
      </c>
      <c r="BL941" t="s">
        <v>97</v>
      </c>
      <c r="BM941" t="s">
        <v>13315</v>
      </c>
      <c r="BN941" t="s">
        <v>74</v>
      </c>
      <c r="BO941" t="s">
        <v>74</v>
      </c>
      <c r="BP941" t="s">
        <v>74</v>
      </c>
      <c r="BQ941" t="s">
        <v>74</v>
      </c>
      <c r="BR941" t="s">
        <v>99</v>
      </c>
      <c r="BS941" t="s">
        <v>13346</v>
      </c>
      <c r="BT941" t="str">
        <f>HYPERLINK("https%3A%2F%2Fwww.webofscience.com%2Fwos%2Fwoscc%2Ffull-record%2FWOS:000186202700006","View Full Record in Web of Science")</f>
        <v>View Full Record in Web of Science</v>
      </c>
    </row>
    <row r="942" spans="1:72" x14ac:dyDescent="0.15">
      <c r="A942" t="s">
        <v>72</v>
      </c>
      <c r="B942" t="s">
        <v>13347</v>
      </c>
      <c r="C942" t="s">
        <v>74</v>
      </c>
      <c r="D942" t="s">
        <v>74</v>
      </c>
      <c r="E942" t="s">
        <v>74</v>
      </c>
      <c r="F942" t="s">
        <v>13347</v>
      </c>
      <c r="G942" t="s">
        <v>74</v>
      </c>
      <c r="H942" t="s">
        <v>74</v>
      </c>
      <c r="I942" t="s">
        <v>13348</v>
      </c>
      <c r="J942" t="s">
        <v>13349</v>
      </c>
      <c r="K942" t="s">
        <v>74</v>
      </c>
      <c r="L942" t="s">
        <v>74</v>
      </c>
      <c r="M942" t="s">
        <v>77</v>
      </c>
      <c r="N942" t="s">
        <v>78</v>
      </c>
      <c r="O942" t="s">
        <v>74</v>
      </c>
      <c r="P942" t="s">
        <v>74</v>
      </c>
      <c r="Q942" t="s">
        <v>74</v>
      </c>
      <c r="R942" t="s">
        <v>74</v>
      </c>
      <c r="S942" t="s">
        <v>74</v>
      </c>
      <c r="T942" t="s">
        <v>74</v>
      </c>
      <c r="U942" t="s">
        <v>74</v>
      </c>
      <c r="V942" t="s">
        <v>13350</v>
      </c>
      <c r="W942" t="s">
        <v>647</v>
      </c>
      <c r="X942" t="s">
        <v>82</v>
      </c>
      <c r="Y942" t="s">
        <v>13351</v>
      </c>
      <c r="Z942" t="s">
        <v>74</v>
      </c>
      <c r="AA942" t="s">
        <v>74</v>
      </c>
      <c r="AB942" t="s">
        <v>74</v>
      </c>
      <c r="AC942" t="s">
        <v>74</v>
      </c>
      <c r="AD942" t="s">
        <v>74</v>
      </c>
      <c r="AE942" t="s">
        <v>74</v>
      </c>
      <c r="AF942" t="s">
        <v>74</v>
      </c>
      <c r="AG942">
        <v>4</v>
      </c>
      <c r="AH942">
        <v>0</v>
      </c>
      <c r="AI942">
        <v>0</v>
      </c>
      <c r="AJ942">
        <v>0</v>
      </c>
      <c r="AK942">
        <v>0</v>
      </c>
      <c r="AL942" t="s">
        <v>13352</v>
      </c>
      <c r="AM942" t="s">
        <v>1417</v>
      </c>
      <c r="AN942" t="s">
        <v>13353</v>
      </c>
      <c r="AO942" t="s">
        <v>13354</v>
      </c>
      <c r="AP942" t="s">
        <v>74</v>
      </c>
      <c r="AQ942" t="s">
        <v>74</v>
      </c>
      <c r="AR942" t="s">
        <v>13355</v>
      </c>
      <c r="AS942" t="s">
        <v>13356</v>
      </c>
      <c r="AT942" t="s">
        <v>12530</v>
      </c>
      <c r="AU942">
        <v>2003</v>
      </c>
      <c r="AV942">
        <v>156</v>
      </c>
      <c r="AW942">
        <v>4</v>
      </c>
      <c r="AX942" t="s">
        <v>74</v>
      </c>
      <c r="AY942" t="s">
        <v>74</v>
      </c>
      <c r="AZ942" t="s">
        <v>74</v>
      </c>
      <c r="BA942" t="s">
        <v>74</v>
      </c>
      <c r="BB942">
        <v>168</v>
      </c>
      <c r="BC942">
        <v>174</v>
      </c>
      <c r="BD942" t="s">
        <v>74</v>
      </c>
      <c r="BE942" t="s">
        <v>74</v>
      </c>
      <c r="BF942" t="s">
        <v>74</v>
      </c>
      <c r="BG942" t="s">
        <v>74</v>
      </c>
      <c r="BH942" t="s">
        <v>74</v>
      </c>
      <c r="BI942">
        <v>7</v>
      </c>
      <c r="BJ942" t="s">
        <v>12806</v>
      </c>
      <c r="BK942" t="s">
        <v>96</v>
      </c>
      <c r="BL942" t="s">
        <v>3956</v>
      </c>
      <c r="BM942" t="s">
        <v>13357</v>
      </c>
      <c r="BN942" t="s">
        <v>74</v>
      </c>
      <c r="BO942" t="s">
        <v>74</v>
      </c>
      <c r="BP942" t="s">
        <v>74</v>
      </c>
      <c r="BQ942" t="s">
        <v>74</v>
      </c>
      <c r="BR942" t="s">
        <v>99</v>
      </c>
      <c r="BS942" t="s">
        <v>13358</v>
      </c>
      <c r="BT942" t="str">
        <f>HYPERLINK("https%3A%2F%2Fwww.webofscience.com%2Fwos%2Fwoscc%2Ffull-record%2FWOS:000188496900012","View Full Record in Web of Science")</f>
        <v>View Full Record in Web of Science</v>
      </c>
    </row>
    <row r="943" spans="1:72" x14ac:dyDescent="0.15">
      <c r="A943" t="s">
        <v>72</v>
      </c>
      <c r="B943" t="s">
        <v>13359</v>
      </c>
      <c r="C943" t="s">
        <v>74</v>
      </c>
      <c r="D943" t="s">
        <v>74</v>
      </c>
      <c r="E943" t="s">
        <v>74</v>
      </c>
      <c r="F943" t="s">
        <v>13359</v>
      </c>
      <c r="G943" t="s">
        <v>74</v>
      </c>
      <c r="H943" t="s">
        <v>74</v>
      </c>
      <c r="I943" t="s">
        <v>13360</v>
      </c>
      <c r="J943" t="s">
        <v>9971</v>
      </c>
      <c r="K943" t="s">
        <v>74</v>
      </c>
      <c r="L943" t="s">
        <v>74</v>
      </c>
      <c r="M943" t="s">
        <v>77</v>
      </c>
      <c r="N943" t="s">
        <v>268</v>
      </c>
      <c r="O943" t="s">
        <v>74</v>
      </c>
      <c r="P943" t="s">
        <v>74</v>
      </c>
      <c r="Q943" t="s">
        <v>74</v>
      </c>
      <c r="R943" t="s">
        <v>74</v>
      </c>
      <c r="S943" t="s">
        <v>74</v>
      </c>
      <c r="T943" t="s">
        <v>74</v>
      </c>
      <c r="U943" t="s">
        <v>13361</v>
      </c>
      <c r="V943" t="s">
        <v>13362</v>
      </c>
      <c r="W943" t="s">
        <v>13363</v>
      </c>
      <c r="X943" t="s">
        <v>13364</v>
      </c>
      <c r="Y943" t="s">
        <v>13365</v>
      </c>
      <c r="Z943" t="s">
        <v>13366</v>
      </c>
      <c r="AA943" t="s">
        <v>13367</v>
      </c>
      <c r="AB943" t="s">
        <v>13368</v>
      </c>
      <c r="AC943" t="s">
        <v>74</v>
      </c>
      <c r="AD943" t="s">
        <v>74</v>
      </c>
      <c r="AE943" t="s">
        <v>74</v>
      </c>
      <c r="AF943" t="s">
        <v>74</v>
      </c>
      <c r="AG943">
        <v>103</v>
      </c>
      <c r="AH943">
        <v>291</v>
      </c>
      <c r="AI943">
        <v>318</v>
      </c>
      <c r="AJ943">
        <v>2</v>
      </c>
      <c r="AK943">
        <v>75</v>
      </c>
      <c r="AL943" t="s">
        <v>213</v>
      </c>
      <c r="AM943" t="s">
        <v>214</v>
      </c>
      <c r="AN943" t="s">
        <v>215</v>
      </c>
      <c r="AO943" t="s">
        <v>9980</v>
      </c>
      <c r="AP943" t="s">
        <v>74</v>
      </c>
      <c r="AQ943" t="s">
        <v>74</v>
      </c>
      <c r="AR943" t="s">
        <v>9981</v>
      </c>
      <c r="AS943" t="s">
        <v>9982</v>
      </c>
      <c r="AT943" t="s">
        <v>12736</v>
      </c>
      <c r="AU943">
        <v>2003</v>
      </c>
      <c r="AV943">
        <v>22</v>
      </c>
      <c r="AW943" t="s">
        <v>13369</v>
      </c>
      <c r="AX943" t="s">
        <v>74</v>
      </c>
      <c r="AY943" t="s">
        <v>74</v>
      </c>
      <c r="AZ943" t="s">
        <v>74</v>
      </c>
      <c r="BA943" t="s">
        <v>74</v>
      </c>
      <c r="BB943">
        <v>2311</v>
      </c>
      <c r="BC943">
        <v>2326</v>
      </c>
      <c r="BD943" t="s">
        <v>74</v>
      </c>
      <c r="BE943" t="s">
        <v>13370</v>
      </c>
      <c r="BF943" t="str">
        <f>HYPERLINK("http://dx.doi.org/10.1016/S0277-3791(03)00204-X","http://dx.doi.org/10.1016/S0277-3791(03)00204-X")</f>
        <v>http://dx.doi.org/10.1016/S0277-3791(03)00204-X</v>
      </c>
      <c r="BG943" t="s">
        <v>74</v>
      </c>
      <c r="BH943" t="s">
        <v>74</v>
      </c>
      <c r="BI943">
        <v>16</v>
      </c>
      <c r="BJ943" t="s">
        <v>1400</v>
      </c>
      <c r="BK943" t="s">
        <v>96</v>
      </c>
      <c r="BL943" t="s">
        <v>1401</v>
      </c>
      <c r="BM943" t="s">
        <v>13371</v>
      </c>
      <c r="BN943" t="s">
        <v>74</v>
      </c>
      <c r="BO943" t="s">
        <v>74</v>
      </c>
      <c r="BP943" t="s">
        <v>74</v>
      </c>
      <c r="BQ943" t="s">
        <v>74</v>
      </c>
      <c r="BR943" t="s">
        <v>99</v>
      </c>
      <c r="BS943" t="s">
        <v>13372</v>
      </c>
      <c r="BT943" t="str">
        <f>HYPERLINK("https%3A%2F%2Fwww.webofscience.com%2Fwos%2Fwoscc%2Ffull-record%2FWOS:000187290200006","View Full Record in Web of Science")</f>
        <v>View Full Record in Web of Science</v>
      </c>
    </row>
    <row r="944" spans="1:72" x14ac:dyDescent="0.15">
      <c r="A944" t="s">
        <v>72</v>
      </c>
      <c r="B944" t="s">
        <v>12128</v>
      </c>
      <c r="C944" t="s">
        <v>74</v>
      </c>
      <c r="D944" t="s">
        <v>74</v>
      </c>
      <c r="E944" t="s">
        <v>74</v>
      </c>
      <c r="F944" t="s">
        <v>12128</v>
      </c>
      <c r="G944" t="s">
        <v>74</v>
      </c>
      <c r="H944" t="s">
        <v>74</v>
      </c>
      <c r="I944" t="s">
        <v>13373</v>
      </c>
      <c r="J944" t="s">
        <v>696</v>
      </c>
      <c r="K944" t="s">
        <v>74</v>
      </c>
      <c r="L944" t="s">
        <v>74</v>
      </c>
      <c r="M944" t="s">
        <v>77</v>
      </c>
      <c r="N944" t="s">
        <v>78</v>
      </c>
      <c r="O944" t="s">
        <v>74</v>
      </c>
      <c r="P944" t="s">
        <v>74</v>
      </c>
      <c r="Q944" t="s">
        <v>74</v>
      </c>
      <c r="R944" t="s">
        <v>74</v>
      </c>
      <c r="S944" t="s">
        <v>74</v>
      </c>
      <c r="T944" t="s">
        <v>13374</v>
      </c>
      <c r="U944" t="s">
        <v>13375</v>
      </c>
      <c r="V944" t="s">
        <v>13376</v>
      </c>
      <c r="W944" t="s">
        <v>13377</v>
      </c>
      <c r="X944" t="s">
        <v>13378</v>
      </c>
      <c r="Y944" t="s">
        <v>2063</v>
      </c>
      <c r="Z944" t="s">
        <v>13379</v>
      </c>
      <c r="AA944" t="s">
        <v>12137</v>
      </c>
      <c r="AB944" t="s">
        <v>12138</v>
      </c>
      <c r="AC944" t="s">
        <v>74</v>
      </c>
      <c r="AD944" t="s">
        <v>74</v>
      </c>
      <c r="AE944" t="s">
        <v>74</v>
      </c>
      <c r="AF944" t="s">
        <v>74</v>
      </c>
      <c r="AG944">
        <v>65</v>
      </c>
      <c r="AH944">
        <v>48</v>
      </c>
      <c r="AI944">
        <v>50</v>
      </c>
      <c r="AJ944">
        <v>0</v>
      </c>
      <c r="AK944">
        <v>9</v>
      </c>
      <c r="AL944" t="s">
        <v>685</v>
      </c>
      <c r="AM944" t="s">
        <v>529</v>
      </c>
      <c r="AN944" t="s">
        <v>686</v>
      </c>
      <c r="AO944" t="s">
        <v>705</v>
      </c>
      <c r="AP944" t="s">
        <v>706</v>
      </c>
      <c r="AQ944" t="s">
        <v>74</v>
      </c>
      <c r="AR944" t="s">
        <v>707</v>
      </c>
      <c r="AS944" t="s">
        <v>708</v>
      </c>
      <c r="AT944" t="s">
        <v>12888</v>
      </c>
      <c r="AU944">
        <v>2003</v>
      </c>
      <c r="AV944">
        <v>162</v>
      </c>
      <c r="AW944" t="s">
        <v>536</v>
      </c>
      <c r="AX944" t="s">
        <v>74</v>
      </c>
      <c r="AY944" t="s">
        <v>74</v>
      </c>
      <c r="AZ944" t="s">
        <v>74</v>
      </c>
      <c r="BA944" t="s">
        <v>74</v>
      </c>
      <c r="BB944">
        <v>141</v>
      </c>
      <c r="BC944">
        <v>158</v>
      </c>
      <c r="BD944" t="s">
        <v>74</v>
      </c>
      <c r="BE944" t="s">
        <v>13380</v>
      </c>
      <c r="BF944" t="str">
        <f>HYPERLINK("http://dx.doi.org/10.1016/S0037-0738(03)00216-1","http://dx.doi.org/10.1016/S0037-0738(03)00216-1")</f>
        <v>http://dx.doi.org/10.1016/S0037-0738(03)00216-1</v>
      </c>
      <c r="BG944" t="s">
        <v>74</v>
      </c>
      <c r="BH944" t="s">
        <v>74</v>
      </c>
      <c r="BI944">
        <v>18</v>
      </c>
      <c r="BJ944" t="s">
        <v>561</v>
      </c>
      <c r="BK944" t="s">
        <v>96</v>
      </c>
      <c r="BL944" t="s">
        <v>561</v>
      </c>
      <c r="BM944" t="s">
        <v>13381</v>
      </c>
      <c r="BN944" t="s">
        <v>74</v>
      </c>
      <c r="BO944" t="s">
        <v>74</v>
      </c>
      <c r="BP944" t="s">
        <v>74</v>
      </c>
      <c r="BQ944" t="s">
        <v>74</v>
      </c>
      <c r="BR944" t="s">
        <v>99</v>
      </c>
      <c r="BS944" t="s">
        <v>13382</v>
      </c>
      <c r="BT944" t="str">
        <f>HYPERLINK("https%3A%2F%2Fwww.webofscience.com%2Fwos%2Fwoscc%2Ffull-record%2FWOS:000186596300009","View Full Record in Web of Science")</f>
        <v>View Full Record in Web of Science</v>
      </c>
    </row>
    <row r="945" spans="1:72" x14ac:dyDescent="0.15">
      <c r="A945" t="s">
        <v>72</v>
      </c>
      <c r="B945" t="s">
        <v>13383</v>
      </c>
      <c r="C945" t="s">
        <v>74</v>
      </c>
      <c r="D945" t="s">
        <v>74</v>
      </c>
      <c r="E945" t="s">
        <v>74</v>
      </c>
      <c r="F945" t="s">
        <v>13383</v>
      </c>
      <c r="G945" t="s">
        <v>74</v>
      </c>
      <c r="H945" t="s">
        <v>74</v>
      </c>
      <c r="I945" t="s">
        <v>13384</v>
      </c>
      <c r="J945" t="s">
        <v>3463</v>
      </c>
      <c r="K945" t="s">
        <v>74</v>
      </c>
      <c r="L945" t="s">
        <v>74</v>
      </c>
      <c r="M945" t="s">
        <v>77</v>
      </c>
      <c r="N945" t="s">
        <v>78</v>
      </c>
      <c r="O945" t="s">
        <v>74</v>
      </c>
      <c r="P945" t="s">
        <v>74</v>
      </c>
      <c r="Q945" t="s">
        <v>74</v>
      </c>
      <c r="R945" t="s">
        <v>74</v>
      </c>
      <c r="S945" t="s">
        <v>74</v>
      </c>
      <c r="T945" t="s">
        <v>74</v>
      </c>
      <c r="U945" t="s">
        <v>13385</v>
      </c>
      <c r="V945" t="s">
        <v>13386</v>
      </c>
      <c r="W945" t="s">
        <v>13387</v>
      </c>
      <c r="X945" t="s">
        <v>13388</v>
      </c>
      <c r="Y945" t="s">
        <v>13389</v>
      </c>
      <c r="Z945" t="s">
        <v>13390</v>
      </c>
      <c r="AA945" t="s">
        <v>13391</v>
      </c>
      <c r="AB945" t="s">
        <v>13392</v>
      </c>
      <c r="AC945" t="s">
        <v>74</v>
      </c>
      <c r="AD945" t="s">
        <v>74</v>
      </c>
      <c r="AE945" t="s">
        <v>74</v>
      </c>
      <c r="AF945" t="s">
        <v>74</v>
      </c>
      <c r="AG945">
        <v>81</v>
      </c>
      <c r="AH945">
        <v>50</v>
      </c>
      <c r="AI945">
        <v>52</v>
      </c>
      <c r="AJ945">
        <v>0</v>
      </c>
      <c r="AK945">
        <v>26</v>
      </c>
      <c r="AL945" t="s">
        <v>177</v>
      </c>
      <c r="AM945" t="s">
        <v>1823</v>
      </c>
      <c r="AN945" t="s">
        <v>1824</v>
      </c>
      <c r="AO945" t="s">
        <v>3473</v>
      </c>
      <c r="AP945" t="s">
        <v>74</v>
      </c>
      <c r="AQ945" t="s">
        <v>74</v>
      </c>
      <c r="AR945" t="s">
        <v>3474</v>
      </c>
      <c r="AS945" t="s">
        <v>3475</v>
      </c>
      <c r="AT945" t="s">
        <v>12530</v>
      </c>
      <c r="AU945">
        <v>2003</v>
      </c>
      <c r="AV945">
        <v>55</v>
      </c>
      <c r="AW945">
        <v>5</v>
      </c>
      <c r="AX945" t="s">
        <v>74</v>
      </c>
      <c r="AY945" t="s">
        <v>74</v>
      </c>
      <c r="AZ945" t="s">
        <v>74</v>
      </c>
      <c r="BA945" t="s">
        <v>74</v>
      </c>
      <c r="BB945">
        <v>966</v>
      </c>
      <c r="BC945">
        <v>981</v>
      </c>
      <c r="BD945" t="s">
        <v>74</v>
      </c>
      <c r="BE945" t="s">
        <v>13393</v>
      </c>
      <c r="BF945" t="str">
        <f>HYPERLINK("http://dx.doi.org/10.1034/j.1600-0889.2003.00077.x","http://dx.doi.org/10.1034/j.1600-0889.2003.00077.x")</f>
        <v>http://dx.doi.org/10.1034/j.1600-0889.2003.00077.x</v>
      </c>
      <c r="BG945" t="s">
        <v>74</v>
      </c>
      <c r="BH945" t="s">
        <v>74</v>
      </c>
      <c r="BI945">
        <v>16</v>
      </c>
      <c r="BJ945" t="s">
        <v>186</v>
      </c>
      <c r="BK945" t="s">
        <v>96</v>
      </c>
      <c r="BL945" t="s">
        <v>186</v>
      </c>
      <c r="BM945" t="s">
        <v>13394</v>
      </c>
      <c r="BN945" t="s">
        <v>74</v>
      </c>
      <c r="BO945" t="s">
        <v>479</v>
      </c>
      <c r="BP945" t="s">
        <v>74</v>
      </c>
      <c r="BQ945" t="s">
        <v>74</v>
      </c>
      <c r="BR945" t="s">
        <v>99</v>
      </c>
      <c r="BS945" t="s">
        <v>13395</v>
      </c>
      <c r="BT945" t="str">
        <f>HYPERLINK("https%3A%2F%2Fwww.webofscience.com%2Fwos%2Fwoscc%2Ffull-record%2FWOS:000186324200002","View Full Record in Web of Science")</f>
        <v>View Full Record in Web of Science</v>
      </c>
    </row>
    <row r="946" spans="1:72" x14ac:dyDescent="0.15">
      <c r="A946" t="s">
        <v>72</v>
      </c>
      <c r="B946" t="s">
        <v>941</v>
      </c>
      <c r="C946" t="s">
        <v>74</v>
      </c>
      <c r="D946" t="s">
        <v>74</v>
      </c>
      <c r="E946" t="s">
        <v>74</v>
      </c>
      <c r="F946" t="s">
        <v>941</v>
      </c>
      <c r="G946" t="s">
        <v>74</v>
      </c>
      <c r="H946" t="s">
        <v>74</v>
      </c>
      <c r="I946" t="s">
        <v>13396</v>
      </c>
      <c r="J946" t="s">
        <v>13397</v>
      </c>
      <c r="K946" t="s">
        <v>74</v>
      </c>
      <c r="L946" t="s">
        <v>74</v>
      </c>
      <c r="M946" t="s">
        <v>77</v>
      </c>
      <c r="N946" t="s">
        <v>822</v>
      </c>
      <c r="O946" t="s">
        <v>74</v>
      </c>
      <c r="P946" t="s">
        <v>74</v>
      </c>
      <c r="Q946" t="s">
        <v>74</v>
      </c>
      <c r="R946" t="s">
        <v>74</v>
      </c>
      <c r="S946" t="s">
        <v>74</v>
      </c>
      <c r="T946" t="s">
        <v>74</v>
      </c>
      <c r="U946" t="s">
        <v>13398</v>
      </c>
      <c r="V946" t="s">
        <v>13399</v>
      </c>
      <c r="W946" t="s">
        <v>13400</v>
      </c>
      <c r="X946" t="s">
        <v>82</v>
      </c>
      <c r="Y946" t="s">
        <v>13401</v>
      </c>
      <c r="Z946" t="s">
        <v>13402</v>
      </c>
      <c r="AA946" t="s">
        <v>74</v>
      </c>
      <c r="AB946" t="s">
        <v>74</v>
      </c>
      <c r="AC946" t="s">
        <v>74</v>
      </c>
      <c r="AD946" t="s">
        <v>74</v>
      </c>
      <c r="AE946" t="s">
        <v>74</v>
      </c>
      <c r="AF946" t="s">
        <v>74</v>
      </c>
      <c r="AG946">
        <v>84</v>
      </c>
      <c r="AH946">
        <v>365</v>
      </c>
      <c r="AI946">
        <v>411</v>
      </c>
      <c r="AJ946">
        <v>4</v>
      </c>
      <c r="AK946">
        <v>189</v>
      </c>
      <c r="AL946" t="s">
        <v>13403</v>
      </c>
      <c r="AM946" t="s">
        <v>1417</v>
      </c>
      <c r="AN946" t="s">
        <v>13404</v>
      </c>
      <c r="AO946" t="s">
        <v>13405</v>
      </c>
      <c r="AP946" t="s">
        <v>13406</v>
      </c>
      <c r="AQ946" t="s">
        <v>74</v>
      </c>
      <c r="AR946" t="s">
        <v>13407</v>
      </c>
      <c r="AS946" t="s">
        <v>13408</v>
      </c>
      <c r="AT946" t="s">
        <v>12530</v>
      </c>
      <c r="AU946">
        <v>2003</v>
      </c>
      <c r="AV946">
        <v>18</v>
      </c>
      <c r="AW946">
        <v>11</v>
      </c>
      <c r="AX946" t="s">
        <v>74</v>
      </c>
      <c r="AY946" t="s">
        <v>74</v>
      </c>
      <c r="AZ946" t="s">
        <v>74</v>
      </c>
      <c r="BA946" t="s">
        <v>74</v>
      </c>
      <c r="BB946">
        <v>573</v>
      </c>
      <c r="BC946">
        <v>581</v>
      </c>
      <c r="BD946" t="s">
        <v>74</v>
      </c>
      <c r="BE946" t="s">
        <v>13409</v>
      </c>
      <c r="BF946" t="str">
        <f>HYPERLINK("http://dx.doi.org/10.1016/j.tree.2003.08.007","http://dx.doi.org/10.1016/j.tree.2003.08.007")</f>
        <v>http://dx.doi.org/10.1016/j.tree.2003.08.007</v>
      </c>
      <c r="BG946" t="s">
        <v>74</v>
      </c>
      <c r="BH946" t="s">
        <v>74</v>
      </c>
      <c r="BI946">
        <v>9</v>
      </c>
      <c r="BJ946" t="s">
        <v>13410</v>
      </c>
      <c r="BK946" t="s">
        <v>96</v>
      </c>
      <c r="BL946" t="s">
        <v>13411</v>
      </c>
      <c r="BM946" t="s">
        <v>13412</v>
      </c>
      <c r="BN946" t="s">
        <v>74</v>
      </c>
      <c r="BO946" t="s">
        <v>74</v>
      </c>
      <c r="BP946" t="s">
        <v>74</v>
      </c>
      <c r="BQ946" t="s">
        <v>74</v>
      </c>
      <c r="BR946" t="s">
        <v>99</v>
      </c>
      <c r="BS946" t="s">
        <v>13413</v>
      </c>
      <c r="BT946" t="str">
        <f>HYPERLINK("https%3A%2F%2Fwww.webofscience.com%2Fwos%2Fwoscc%2Ffull-record%2FWOS:000186311100008","View Full Record in Web of Science")</f>
        <v>View Full Record in Web of Science</v>
      </c>
    </row>
    <row r="947" spans="1:72" x14ac:dyDescent="0.15">
      <c r="A947" t="s">
        <v>72</v>
      </c>
      <c r="B947" t="s">
        <v>13414</v>
      </c>
      <c r="C947" t="s">
        <v>74</v>
      </c>
      <c r="D947" t="s">
        <v>74</v>
      </c>
      <c r="E947" t="s">
        <v>74</v>
      </c>
      <c r="F947" t="s">
        <v>13414</v>
      </c>
      <c r="G947" t="s">
        <v>74</v>
      </c>
      <c r="H947" t="s">
        <v>74</v>
      </c>
      <c r="I947" t="s">
        <v>13415</v>
      </c>
      <c r="J947" t="s">
        <v>13416</v>
      </c>
      <c r="K947" t="s">
        <v>74</v>
      </c>
      <c r="L947" t="s">
        <v>74</v>
      </c>
      <c r="M947" t="s">
        <v>77</v>
      </c>
      <c r="N947" t="s">
        <v>268</v>
      </c>
      <c r="O947" t="s">
        <v>74</v>
      </c>
      <c r="P947" t="s">
        <v>74</v>
      </c>
      <c r="Q947" t="s">
        <v>74</v>
      </c>
      <c r="R947" t="s">
        <v>74</v>
      </c>
      <c r="S947" t="s">
        <v>74</v>
      </c>
      <c r="T947" t="s">
        <v>13417</v>
      </c>
      <c r="U947" t="s">
        <v>13418</v>
      </c>
      <c r="V947" t="s">
        <v>13419</v>
      </c>
      <c r="W947" t="s">
        <v>13420</v>
      </c>
      <c r="X947" t="s">
        <v>13421</v>
      </c>
      <c r="Y947" t="s">
        <v>13422</v>
      </c>
      <c r="Z947" t="s">
        <v>74</v>
      </c>
      <c r="AA947" t="s">
        <v>74</v>
      </c>
      <c r="AB947" t="s">
        <v>74</v>
      </c>
      <c r="AC947" t="s">
        <v>74</v>
      </c>
      <c r="AD947" t="s">
        <v>74</v>
      </c>
      <c r="AE947" t="s">
        <v>74</v>
      </c>
      <c r="AF947" t="s">
        <v>74</v>
      </c>
      <c r="AG947">
        <v>103</v>
      </c>
      <c r="AH947">
        <v>39</v>
      </c>
      <c r="AI947">
        <v>47</v>
      </c>
      <c r="AJ947">
        <v>0</v>
      </c>
      <c r="AK947">
        <v>6</v>
      </c>
      <c r="AL947" t="s">
        <v>1235</v>
      </c>
      <c r="AM947" t="s">
        <v>214</v>
      </c>
      <c r="AN947" t="s">
        <v>1236</v>
      </c>
      <c r="AO947" t="s">
        <v>13423</v>
      </c>
      <c r="AP947" t="s">
        <v>74</v>
      </c>
      <c r="AQ947" t="s">
        <v>74</v>
      </c>
      <c r="AR947" t="s">
        <v>13424</v>
      </c>
      <c r="AS947" t="s">
        <v>13425</v>
      </c>
      <c r="AT947" t="s">
        <v>12530</v>
      </c>
      <c r="AU947">
        <v>2003</v>
      </c>
      <c r="AV947">
        <v>139</v>
      </c>
      <c r="AW947">
        <v>3</v>
      </c>
      <c r="AX947" t="s">
        <v>74</v>
      </c>
      <c r="AY947" t="s">
        <v>74</v>
      </c>
      <c r="AZ947" t="s">
        <v>74</v>
      </c>
      <c r="BA947" t="s">
        <v>74</v>
      </c>
      <c r="BB947">
        <v>439</v>
      </c>
      <c r="BC947">
        <v>476</v>
      </c>
      <c r="BD947" t="s">
        <v>74</v>
      </c>
      <c r="BE947" t="s">
        <v>13426</v>
      </c>
      <c r="BF947" t="str">
        <f>HYPERLINK("http://dx.doi.org/10.1046/j.1096-3642.2003.00085.x","http://dx.doi.org/10.1046/j.1096-3642.2003.00085.x")</f>
        <v>http://dx.doi.org/10.1046/j.1096-3642.2003.00085.x</v>
      </c>
      <c r="BG947" t="s">
        <v>74</v>
      </c>
      <c r="BH947" t="s">
        <v>74</v>
      </c>
      <c r="BI947">
        <v>38</v>
      </c>
      <c r="BJ947" t="s">
        <v>331</v>
      </c>
      <c r="BK947" t="s">
        <v>96</v>
      </c>
      <c r="BL947" t="s">
        <v>331</v>
      </c>
      <c r="BM947" t="s">
        <v>13427</v>
      </c>
      <c r="BN947" t="s">
        <v>74</v>
      </c>
      <c r="BO947" t="s">
        <v>397</v>
      </c>
      <c r="BP947" t="s">
        <v>74</v>
      </c>
      <c r="BQ947" t="s">
        <v>74</v>
      </c>
      <c r="BR947" t="s">
        <v>99</v>
      </c>
      <c r="BS947" t="s">
        <v>13428</v>
      </c>
      <c r="BT947" t="str">
        <f>HYPERLINK("https%3A%2F%2Fwww.webofscience.com%2Fwos%2Fwoscc%2Ffull-record%2FWOS:000186903100004","View Full Record in Web of Science")</f>
        <v>View Full Record in Web of Science</v>
      </c>
    </row>
    <row r="948" spans="1:72" x14ac:dyDescent="0.15">
      <c r="A948" t="s">
        <v>72</v>
      </c>
      <c r="B948" t="s">
        <v>13429</v>
      </c>
      <c r="C948" t="s">
        <v>74</v>
      </c>
      <c r="D948" t="s">
        <v>74</v>
      </c>
      <c r="E948" t="s">
        <v>74</v>
      </c>
      <c r="F948" t="s">
        <v>13429</v>
      </c>
      <c r="G948" t="s">
        <v>74</v>
      </c>
      <c r="H948" t="s">
        <v>74</v>
      </c>
      <c r="I948" t="s">
        <v>13430</v>
      </c>
      <c r="J948" t="s">
        <v>2431</v>
      </c>
      <c r="K948" t="s">
        <v>74</v>
      </c>
      <c r="L948" t="s">
        <v>74</v>
      </c>
      <c r="M948" t="s">
        <v>77</v>
      </c>
      <c r="N948" t="s">
        <v>78</v>
      </c>
      <c r="O948" t="s">
        <v>74</v>
      </c>
      <c r="P948" t="s">
        <v>74</v>
      </c>
      <c r="Q948" t="s">
        <v>74</v>
      </c>
      <c r="R948" t="s">
        <v>74</v>
      </c>
      <c r="S948" t="s">
        <v>74</v>
      </c>
      <c r="T948" t="s">
        <v>13431</v>
      </c>
      <c r="U948" t="s">
        <v>13432</v>
      </c>
      <c r="V948" t="s">
        <v>13433</v>
      </c>
      <c r="W948" t="s">
        <v>13434</v>
      </c>
      <c r="X948" t="s">
        <v>13435</v>
      </c>
      <c r="Y948" t="s">
        <v>13436</v>
      </c>
      <c r="Z948" t="s">
        <v>74</v>
      </c>
      <c r="AA948" t="s">
        <v>13437</v>
      </c>
      <c r="AB948" t="s">
        <v>13438</v>
      </c>
      <c r="AC948" t="s">
        <v>74</v>
      </c>
      <c r="AD948" t="s">
        <v>74</v>
      </c>
      <c r="AE948" t="s">
        <v>74</v>
      </c>
      <c r="AF948" t="s">
        <v>74</v>
      </c>
      <c r="AG948">
        <v>20</v>
      </c>
      <c r="AH948">
        <v>6</v>
      </c>
      <c r="AI948">
        <v>6</v>
      </c>
      <c r="AJ948">
        <v>0</v>
      </c>
      <c r="AK948">
        <v>6</v>
      </c>
      <c r="AL948" t="s">
        <v>363</v>
      </c>
      <c r="AM948" t="s">
        <v>364</v>
      </c>
      <c r="AN948" t="s">
        <v>365</v>
      </c>
      <c r="AO948" t="s">
        <v>2434</v>
      </c>
      <c r="AP948" t="s">
        <v>74</v>
      </c>
      <c r="AQ948" t="s">
        <v>74</v>
      </c>
      <c r="AR948" t="s">
        <v>2435</v>
      </c>
      <c r="AS948" t="s">
        <v>2436</v>
      </c>
      <c r="AT948" t="s">
        <v>13439</v>
      </c>
      <c r="AU948">
        <v>2003</v>
      </c>
      <c r="AV948">
        <v>4</v>
      </c>
      <c r="AW948" t="s">
        <v>74</v>
      </c>
      <c r="AX948" t="s">
        <v>74</v>
      </c>
      <c r="AY948" t="s">
        <v>74</v>
      </c>
      <c r="AZ948" t="s">
        <v>74</v>
      </c>
      <c r="BA948" t="s">
        <v>74</v>
      </c>
      <c r="BB948" t="s">
        <v>74</v>
      </c>
      <c r="BC948" t="s">
        <v>74</v>
      </c>
      <c r="BD948">
        <v>1091</v>
      </c>
      <c r="BE948" t="s">
        <v>13440</v>
      </c>
      <c r="BF948" t="str">
        <f>HYPERLINK("http://dx.doi.org/10.1029/2003GC000536","http://dx.doi.org/10.1029/2003GC000536")</f>
        <v>http://dx.doi.org/10.1029/2003GC000536</v>
      </c>
      <c r="BG948" t="s">
        <v>74</v>
      </c>
      <c r="BH948" t="s">
        <v>74</v>
      </c>
      <c r="BI948">
        <v>10</v>
      </c>
      <c r="BJ948" t="s">
        <v>262</v>
      </c>
      <c r="BK948" t="s">
        <v>96</v>
      </c>
      <c r="BL948" t="s">
        <v>262</v>
      </c>
      <c r="BM948" t="s">
        <v>13441</v>
      </c>
      <c r="BN948" t="s">
        <v>74</v>
      </c>
      <c r="BO948" t="s">
        <v>13442</v>
      </c>
      <c r="BP948" t="s">
        <v>74</v>
      </c>
      <c r="BQ948" t="s">
        <v>74</v>
      </c>
      <c r="BR948" t="s">
        <v>99</v>
      </c>
      <c r="BS948" t="s">
        <v>13443</v>
      </c>
      <c r="BT948" t="str">
        <f>HYPERLINK("https%3A%2F%2Fwww.webofscience.com%2Fwos%2Fwoscc%2Ffull-record%2FWOS:000186394300002","View Full Record in Web of Science")</f>
        <v>View Full Record in Web of Science</v>
      </c>
    </row>
    <row r="949" spans="1:72" x14ac:dyDescent="0.15">
      <c r="A949" t="s">
        <v>72</v>
      </c>
      <c r="B949" t="s">
        <v>13444</v>
      </c>
      <c r="C949" t="s">
        <v>74</v>
      </c>
      <c r="D949" t="s">
        <v>74</v>
      </c>
      <c r="E949" t="s">
        <v>74</v>
      </c>
      <c r="F949" t="s">
        <v>13444</v>
      </c>
      <c r="G949" t="s">
        <v>74</v>
      </c>
      <c r="H949" t="s">
        <v>74</v>
      </c>
      <c r="I949" t="s">
        <v>13445</v>
      </c>
      <c r="J949" t="s">
        <v>3916</v>
      </c>
      <c r="K949" t="s">
        <v>74</v>
      </c>
      <c r="L949" t="s">
        <v>74</v>
      </c>
      <c r="M949" t="s">
        <v>77</v>
      </c>
      <c r="N949" t="s">
        <v>3308</v>
      </c>
      <c r="O949" t="s">
        <v>74</v>
      </c>
      <c r="P949" t="s">
        <v>74</v>
      </c>
      <c r="Q949" t="s">
        <v>74</v>
      </c>
      <c r="R949" t="s">
        <v>74</v>
      </c>
      <c r="S949" t="s">
        <v>74</v>
      </c>
      <c r="T949" t="s">
        <v>74</v>
      </c>
      <c r="U949" t="s">
        <v>74</v>
      </c>
      <c r="V949" t="s">
        <v>74</v>
      </c>
      <c r="W949" t="s">
        <v>74</v>
      </c>
      <c r="X949" t="s">
        <v>74</v>
      </c>
      <c r="Y949" t="s">
        <v>74</v>
      </c>
      <c r="Z949" t="s">
        <v>74</v>
      </c>
      <c r="AA949" t="s">
        <v>74</v>
      </c>
      <c r="AB949" t="s">
        <v>74</v>
      </c>
      <c r="AC949" t="s">
        <v>74</v>
      </c>
      <c r="AD949" t="s">
        <v>74</v>
      </c>
      <c r="AE949" t="s">
        <v>74</v>
      </c>
      <c r="AF949" t="s">
        <v>74</v>
      </c>
      <c r="AG949">
        <v>0</v>
      </c>
      <c r="AH949">
        <v>0</v>
      </c>
      <c r="AI949">
        <v>0</v>
      </c>
      <c r="AJ949">
        <v>0</v>
      </c>
      <c r="AK949">
        <v>4</v>
      </c>
      <c r="AL949" t="s">
        <v>3925</v>
      </c>
      <c r="AM949" t="s">
        <v>364</v>
      </c>
      <c r="AN949" t="s">
        <v>3926</v>
      </c>
      <c r="AO949" t="s">
        <v>3927</v>
      </c>
      <c r="AP949" t="s">
        <v>74</v>
      </c>
      <c r="AQ949" t="s">
        <v>74</v>
      </c>
      <c r="AR949" t="s">
        <v>3916</v>
      </c>
      <c r="AS949" t="s">
        <v>3929</v>
      </c>
      <c r="AT949" t="s">
        <v>13439</v>
      </c>
      <c r="AU949">
        <v>2003</v>
      </c>
      <c r="AV949">
        <v>302</v>
      </c>
      <c r="AW949">
        <v>5646</v>
      </c>
      <c r="AX949" t="s">
        <v>74</v>
      </c>
      <c r="AY949" t="s">
        <v>74</v>
      </c>
      <c r="AZ949" t="s">
        <v>74</v>
      </c>
      <c r="BA949" t="s">
        <v>74</v>
      </c>
      <c r="BB949">
        <v>759</v>
      </c>
      <c r="BC949">
        <v>759</v>
      </c>
      <c r="BD949" t="s">
        <v>74</v>
      </c>
      <c r="BE949" t="s">
        <v>74</v>
      </c>
      <c r="BF949" t="s">
        <v>74</v>
      </c>
      <c r="BG949" t="s">
        <v>74</v>
      </c>
      <c r="BH949" t="s">
        <v>74</v>
      </c>
      <c r="BI949">
        <v>1</v>
      </c>
      <c r="BJ949" t="s">
        <v>454</v>
      </c>
      <c r="BK949" t="s">
        <v>96</v>
      </c>
      <c r="BL949" t="s">
        <v>455</v>
      </c>
      <c r="BM949" t="s">
        <v>13446</v>
      </c>
      <c r="BN949">
        <v>14593136</v>
      </c>
      <c r="BO949" t="s">
        <v>74</v>
      </c>
      <c r="BP949" t="s">
        <v>74</v>
      </c>
      <c r="BQ949" t="s">
        <v>74</v>
      </c>
      <c r="BR949" t="s">
        <v>99</v>
      </c>
      <c r="BS949" t="s">
        <v>13447</v>
      </c>
      <c r="BT949" t="str">
        <f>HYPERLINK("https%3A%2F%2Fwww.webofscience.com%2Fwos%2Fwoscc%2Ffull-record%2FWOS:000186258000003","View Full Record in Web of Science")</f>
        <v>View Full Record in Web of Science</v>
      </c>
    </row>
    <row r="950" spans="1:72" x14ac:dyDescent="0.15">
      <c r="A950" t="s">
        <v>72</v>
      </c>
      <c r="B950" t="s">
        <v>13448</v>
      </c>
      <c r="C950" t="s">
        <v>74</v>
      </c>
      <c r="D950" t="s">
        <v>74</v>
      </c>
      <c r="E950" t="s">
        <v>74</v>
      </c>
      <c r="F950" t="s">
        <v>13448</v>
      </c>
      <c r="G950" t="s">
        <v>74</v>
      </c>
      <c r="H950" t="s">
        <v>74</v>
      </c>
      <c r="I950" t="s">
        <v>13449</v>
      </c>
      <c r="J950" t="s">
        <v>3916</v>
      </c>
      <c r="K950" t="s">
        <v>74</v>
      </c>
      <c r="L950" t="s">
        <v>74</v>
      </c>
      <c r="M950" t="s">
        <v>77</v>
      </c>
      <c r="N950" t="s">
        <v>78</v>
      </c>
      <c r="O950" t="s">
        <v>74</v>
      </c>
      <c r="P950" t="s">
        <v>74</v>
      </c>
      <c r="Q950" t="s">
        <v>74</v>
      </c>
      <c r="R950" t="s">
        <v>74</v>
      </c>
      <c r="S950" t="s">
        <v>74</v>
      </c>
      <c r="T950" t="s">
        <v>74</v>
      </c>
      <c r="U950" t="s">
        <v>13450</v>
      </c>
      <c r="V950" t="s">
        <v>13451</v>
      </c>
      <c r="W950" t="s">
        <v>13452</v>
      </c>
      <c r="X950" t="s">
        <v>13453</v>
      </c>
      <c r="Y950" t="s">
        <v>13454</v>
      </c>
      <c r="Z950" t="s">
        <v>13455</v>
      </c>
      <c r="AA950" t="s">
        <v>13456</v>
      </c>
      <c r="AB950" t="s">
        <v>13457</v>
      </c>
      <c r="AC950" t="s">
        <v>74</v>
      </c>
      <c r="AD950" t="s">
        <v>74</v>
      </c>
      <c r="AE950" t="s">
        <v>74</v>
      </c>
      <c r="AF950" t="s">
        <v>74</v>
      </c>
      <c r="AG950">
        <v>33</v>
      </c>
      <c r="AH950">
        <v>231</v>
      </c>
      <c r="AI950">
        <v>257</v>
      </c>
      <c r="AJ950">
        <v>2</v>
      </c>
      <c r="AK950">
        <v>45</v>
      </c>
      <c r="AL950" t="s">
        <v>3925</v>
      </c>
      <c r="AM950" t="s">
        <v>364</v>
      </c>
      <c r="AN950" t="s">
        <v>3926</v>
      </c>
      <c r="AO950" t="s">
        <v>3927</v>
      </c>
      <c r="AP950" t="s">
        <v>3928</v>
      </c>
      <c r="AQ950" t="s">
        <v>74</v>
      </c>
      <c r="AR950" t="s">
        <v>3916</v>
      </c>
      <c r="AS950" t="s">
        <v>3929</v>
      </c>
      <c r="AT950" t="s">
        <v>13439</v>
      </c>
      <c r="AU950">
        <v>2003</v>
      </c>
      <c r="AV950">
        <v>302</v>
      </c>
      <c r="AW950">
        <v>5646</v>
      </c>
      <c r="AX950" t="s">
        <v>74</v>
      </c>
      <c r="AY950" t="s">
        <v>74</v>
      </c>
      <c r="AZ950" t="s">
        <v>74</v>
      </c>
      <c r="BA950" t="s">
        <v>74</v>
      </c>
      <c r="BB950">
        <v>856</v>
      </c>
      <c r="BC950">
        <v>859</v>
      </c>
      <c r="BD950" t="s">
        <v>74</v>
      </c>
      <c r="BE950" t="s">
        <v>13458</v>
      </c>
      <c r="BF950" t="str">
        <f>HYPERLINK("http://dx.doi.org/10.1126/science.1089768","http://dx.doi.org/10.1126/science.1089768")</f>
        <v>http://dx.doi.org/10.1126/science.1089768</v>
      </c>
      <c r="BG950" t="s">
        <v>74</v>
      </c>
      <c r="BH950" t="s">
        <v>74</v>
      </c>
      <c r="BI950">
        <v>4</v>
      </c>
      <c r="BJ950" t="s">
        <v>454</v>
      </c>
      <c r="BK950" t="s">
        <v>96</v>
      </c>
      <c r="BL950" t="s">
        <v>455</v>
      </c>
      <c r="BM950" t="s">
        <v>13446</v>
      </c>
      <c r="BN950">
        <v>14593176</v>
      </c>
      <c r="BO950" t="s">
        <v>74</v>
      </c>
      <c r="BP950" t="s">
        <v>74</v>
      </c>
      <c r="BQ950" t="s">
        <v>74</v>
      </c>
      <c r="BR950" t="s">
        <v>99</v>
      </c>
      <c r="BS950" t="s">
        <v>13459</v>
      </c>
      <c r="BT950" t="str">
        <f>HYPERLINK("https%3A%2F%2Fwww.webofscience.com%2Fwos%2Fwoscc%2Ffull-record%2FWOS:000186258000046","View Full Record in Web of Science")</f>
        <v>View Full Record in Web of Science</v>
      </c>
    </row>
    <row r="951" spans="1:72" x14ac:dyDescent="0.15">
      <c r="A951" t="s">
        <v>72</v>
      </c>
      <c r="B951" t="s">
        <v>13460</v>
      </c>
      <c r="C951" t="s">
        <v>74</v>
      </c>
      <c r="D951" t="s">
        <v>74</v>
      </c>
      <c r="E951" t="s">
        <v>74</v>
      </c>
      <c r="F951" t="s">
        <v>13460</v>
      </c>
      <c r="G951" t="s">
        <v>74</v>
      </c>
      <c r="H951" t="s">
        <v>74</v>
      </c>
      <c r="I951" t="s">
        <v>13461</v>
      </c>
      <c r="J951" t="s">
        <v>13462</v>
      </c>
      <c r="K951" t="s">
        <v>74</v>
      </c>
      <c r="L951" t="s">
        <v>74</v>
      </c>
      <c r="M951" t="s">
        <v>77</v>
      </c>
      <c r="N951" t="s">
        <v>78</v>
      </c>
      <c r="O951" t="s">
        <v>74</v>
      </c>
      <c r="P951" t="s">
        <v>74</v>
      </c>
      <c r="Q951" t="s">
        <v>74</v>
      </c>
      <c r="R951" t="s">
        <v>74</v>
      </c>
      <c r="S951" t="s">
        <v>74</v>
      </c>
      <c r="T951" t="s">
        <v>13463</v>
      </c>
      <c r="U951" t="s">
        <v>13464</v>
      </c>
      <c r="V951" t="s">
        <v>13465</v>
      </c>
      <c r="W951" t="s">
        <v>13466</v>
      </c>
      <c r="X951" t="s">
        <v>13467</v>
      </c>
      <c r="Y951" t="s">
        <v>13468</v>
      </c>
      <c r="Z951" t="s">
        <v>13469</v>
      </c>
      <c r="AA951" t="s">
        <v>13470</v>
      </c>
      <c r="AB951" t="s">
        <v>13471</v>
      </c>
      <c r="AC951" t="s">
        <v>74</v>
      </c>
      <c r="AD951" t="s">
        <v>74</v>
      </c>
      <c r="AE951" t="s">
        <v>74</v>
      </c>
      <c r="AF951" t="s">
        <v>74</v>
      </c>
      <c r="AG951">
        <v>69</v>
      </c>
      <c r="AH951">
        <v>25</v>
      </c>
      <c r="AI951">
        <v>31</v>
      </c>
      <c r="AJ951">
        <v>0</v>
      </c>
      <c r="AK951">
        <v>16</v>
      </c>
      <c r="AL951" t="s">
        <v>528</v>
      </c>
      <c r="AM951" t="s">
        <v>529</v>
      </c>
      <c r="AN951" t="s">
        <v>530</v>
      </c>
      <c r="AO951" t="s">
        <v>13472</v>
      </c>
      <c r="AP951" t="s">
        <v>74</v>
      </c>
      <c r="AQ951" t="s">
        <v>74</v>
      </c>
      <c r="AR951" t="s">
        <v>13473</v>
      </c>
      <c r="AS951" t="s">
        <v>13474</v>
      </c>
      <c r="AT951" t="s">
        <v>13475</v>
      </c>
      <c r="AU951">
        <v>2003</v>
      </c>
      <c r="AV951">
        <v>65</v>
      </c>
      <c r="AW951">
        <v>2</v>
      </c>
      <c r="AX951" t="s">
        <v>74</v>
      </c>
      <c r="AY951" t="s">
        <v>74</v>
      </c>
      <c r="AZ951" t="s">
        <v>74</v>
      </c>
      <c r="BA951" t="s">
        <v>74</v>
      </c>
      <c r="BB951">
        <v>117</v>
      </c>
      <c r="BC951">
        <v>140</v>
      </c>
      <c r="BD951" t="s">
        <v>74</v>
      </c>
      <c r="BE951" t="s">
        <v>13476</v>
      </c>
      <c r="BF951" t="str">
        <f>HYPERLINK("http://dx.doi.org/10.1016/S0166-445X(03)00120-6","http://dx.doi.org/10.1016/S0166-445X(03)00120-6")</f>
        <v>http://dx.doi.org/10.1016/S0166-445X(03)00120-6</v>
      </c>
      <c r="BG951" t="s">
        <v>74</v>
      </c>
      <c r="BH951" t="s">
        <v>74</v>
      </c>
      <c r="BI951">
        <v>24</v>
      </c>
      <c r="BJ951" t="s">
        <v>13477</v>
      </c>
      <c r="BK951" t="s">
        <v>96</v>
      </c>
      <c r="BL951" t="s">
        <v>13477</v>
      </c>
      <c r="BM951" t="s">
        <v>13478</v>
      </c>
      <c r="BN951">
        <v>12946614</v>
      </c>
      <c r="BO951" t="s">
        <v>74</v>
      </c>
      <c r="BP951" t="s">
        <v>74</v>
      </c>
      <c r="BQ951" t="s">
        <v>74</v>
      </c>
      <c r="BR951" t="s">
        <v>99</v>
      </c>
      <c r="BS951" t="s">
        <v>13479</v>
      </c>
      <c r="BT951" t="str">
        <f>HYPERLINK("https%3A%2F%2Fwww.webofscience.com%2Fwos%2Fwoscc%2Ffull-record%2FWOS:000185236700001","View Full Record in Web of Science")</f>
        <v>View Full Record in Web of Science</v>
      </c>
    </row>
    <row r="952" spans="1:72" x14ac:dyDescent="0.15">
      <c r="A952" t="s">
        <v>72</v>
      </c>
      <c r="B952" t="s">
        <v>13480</v>
      </c>
      <c r="C952" t="s">
        <v>74</v>
      </c>
      <c r="D952" t="s">
        <v>74</v>
      </c>
      <c r="E952" t="s">
        <v>74</v>
      </c>
      <c r="F952" t="s">
        <v>13480</v>
      </c>
      <c r="G952" t="s">
        <v>74</v>
      </c>
      <c r="H952" t="s">
        <v>74</v>
      </c>
      <c r="I952" t="s">
        <v>13481</v>
      </c>
      <c r="J952" t="s">
        <v>419</v>
      </c>
      <c r="K952" t="s">
        <v>74</v>
      </c>
      <c r="L952" t="s">
        <v>74</v>
      </c>
      <c r="M952" t="s">
        <v>77</v>
      </c>
      <c r="N952" t="s">
        <v>78</v>
      </c>
      <c r="O952" t="s">
        <v>74</v>
      </c>
      <c r="P952" t="s">
        <v>74</v>
      </c>
      <c r="Q952" t="s">
        <v>74</v>
      </c>
      <c r="R952" t="s">
        <v>74</v>
      </c>
      <c r="S952" t="s">
        <v>74</v>
      </c>
      <c r="T952" t="s">
        <v>13482</v>
      </c>
      <c r="U952" t="s">
        <v>13483</v>
      </c>
      <c r="V952" t="s">
        <v>13484</v>
      </c>
      <c r="W952" t="s">
        <v>13485</v>
      </c>
      <c r="X952" t="s">
        <v>13486</v>
      </c>
      <c r="Y952" t="s">
        <v>13487</v>
      </c>
      <c r="Z952" t="s">
        <v>13488</v>
      </c>
      <c r="AA952" t="s">
        <v>13489</v>
      </c>
      <c r="AB952" t="s">
        <v>13490</v>
      </c>
      <c r="AC952" t="s">
        <v>74</v>
      </c>
      <c r="AD952" t="s">
        <v>74</v>
      </c>
      <c r="AE952" t="s">
        <v>74</v>
      </c>
      <c r="AF952" t="s">
        <v>74</v>
      </c>
      <c r="AG952">
        <v>46</v>
      </c>
      <c r="AH952">
        <v>12</v>
      </c>
      <c r="AI952">
        <v>14</v>
      </c>
      <c r="AJ952">
        <v>0</v>
      </c>
      <c r="AK952">
        <v>3</v>
      </c>
      <c r="AL952" t="s">
        <v>363</v>
      </c>
      <c r="AM952" t="s">
        <v>364</v>
      </c>
      <c r="AN952" t="s">
        <v>365</v>
      </c>
      <c r="AO952" t="s">
        <v>429</v>
      </c>
      <c r="AP952" t="s">
        <v>430</v>
      </c>
      <c r="AQ952" t="s">
        <v>74</v>
      </c>
      <c r="AR952" t="s">
        <v>431</v>
      </c>
      <c r="AS952" t="s">
        <v>432</v>
      </c>
      <c r="AT952" t="s">
        <v>13475</v>
      </c>
      <c r="AU952">
        <v>2003</v>
      </c>
      <c r="AV952">
        <v>108</v>
      </c>
      <c r="AW952" t="s">
        <v>13491</v>
      </c>
      <c r="AX952" t="s">
        <v>74</v>
      </c>
      <c r="AY952" t="s">
        <v>74</v>
      </c>
      <c r="AZ952" t="s">
        <v>74</v>
      </c>
      <c r="BA952" t="s">
        <v>74</v>
      </c>
      <c r="BB952" t="s">
        <v>74</v>
      </c>
      <c r="BC952" t="s">
        <v>74</v>
      </c>
      <c r="BD952">
        <v>4652</v>
      </c>
      <c r="BE952" t="s">
        <v>13492</v>
      </c>
      <c r="BF952" t="str">
        <f>HYPERLINK("http://dx.doi.org/10.1029/2002JD003278","http://dx.doi.org/10.1029/2002JD003278")</f>
        <v>http://dx.doi.org/10.1029/2002JD003278</v>
      </c>
      <c r="BG952" t="s">
        <v>74</v>
      </c>
      <c r="BH952" t="s">
        <v>74</v>
      </c>
      <c r="BI952">
        <v>11</v>
      </c>
      <c r="BJ952" t="s">
        <v>186</v>
      </c>
      <c r="BK952" t="s">
        <v>96</v>
      </c>
      <c r="BL952" t="s">
        <v>186</v>
      </c>
      <c r="BM952" t="s">
        <v>13493</v>
      </c>
      <c r="BN952" t="s">
        <v>74</v>
      </c>
      <c r="BO952" t="s">
        <v>541</v>
      </c>
      <c r="BP952" t="s">
        <v>74</v>
      </c>
      <c r="BQ952" t="s">
        <v>74</v>
      </c>
      <c r="BR952" t="s">
        <v>99</v>
      </c>
      <c r="BS952" t="s">
        <v>13494</v>
      </c>
      <c r="BT952" t="str">
        <f>HYPERLINK("https%3A%2F%2Fwww.webofscience.com%2Fwos%2Fwoscc%2Ffull-record%2FWOS:000186395300001","View Full Record in Web of Science")</f>
        <v>View Full Record in Web of Science</v>
      </c>
    </row>
    <row r="953" spans="1:72" x14ac:dyDescent="0.15">
      <c r="A953" t="s">
        <v>72</v>
      </c>
      <c r="B953" t="s">
        <v>13495</v>
      </c>
      <c r="C953" t="s">
        <v>74</v>
      </c>
      <c r="D953" t="s">
        <v>74</v>
      </c>
      <c r="E953" t="s">
        <v>74</v>
      </c>
      <c r="F953" t="s">
        <v>13495</v>
      </c>
      <c r="G953" t="s">
        <v>74</v>
      </c>
      <c r="H953" t="s">
        <v>74</v>
      </c>
      <c r="I953" t="s">
        <v>13496</v>
      </c>
      <c r="J953" t="s">
        <v>545</v>
      </c>
      <c r="K953" t="s">
        <v>74</v>
      </c>
      <c r="L953" t="s">
        <v>74</v>
      </c>
      <c r="M953" t="s">
        <v>77</v>
      </c>
      <c r="N953" t="s">
        <v>78</v>
      </c>
      <c r="O953" t="s">
        <v>74</v>
      </c>
      <c r="P953" t="s">
        <v>74</v>
      </c>
      <c r="Q953" t="s">
        <v>74</v>
      </c>
      <c r="R953" t="s">
        <v>74</v>
      </c>
      <c r="S953" t="s">
        <v>74</v>
      </c>
      <c r="T953" t="s">
        <v>74</v>
      </c>
      <c r="U953" t="s">
        <v>13497</v>
      </c>
      <c r="V953" t="s">
        <v>13498</v>
      </c>
      <c r="W953" t="s">
        <v>13499</v>
      </c>
      <c r="X953" t="s">
        <v>13500</v>
      </c>
      <c r="Y953" t="s">
        <v>13501</v>
      </c>
      <c r="Z953" t="s">
        <v>74</v>
      </c>
      <c r="AA953" t="s">
        <v>13502</v>
      </c>
      <c r="AB953" t="s">
        <v>13503</v>
      </c>
      <c r="AC953" t="s">
        <v>74</v>
      </c>
      <c r="AD953" t="s">
        <v>74</v>
      </c>
      <c r="AE953" t="s">
        <v>74</v>
      </c>
      <c r="AF953" t="s">
        <v>74</v>
      </c>
      <c r="AG953">
        <v>16</v>
      </c>
      <c r="AH953">
        <v>63</v>
      </c>
      <c r="AI953">
        <v>67</v>
      </c>
      <c r="AJ953">
        <v>0</v>
      </c>
      <c r="AK953">
        <v>7</v>
      </c>
      <c r="AL953" t="s">
        <v>363</v>
      </c>
      <c r="AM953" t="s">
        <v>364</v>
      </c>
      <c r="AN953" t="s">
        <v>365</v>
      </c>
      <c r="AO953" t="s">
        <v>553</v>
      </c>
      <c r="AP953" t="s">
        <v>74</v>
      </c>
      <c r="AQ953" t="s">
        <v>74</v>
      </c>
      <c r="AR953" t="s">
        <v>555</v>
      </c>
      <c r="AS953" t="s">
        <v>556</v>
      </c>
      <c r="AT953" t="s">
        <v>13504</v>
      </c>
      <c r="AU953">
        <v>2003</v>
      </c>
      <c r="AV953">
        <v>30</v>
      </c>
      <c r="AW953">
        <v>20</v>
      </c>
      <c r="AX953" t="s">
        <v>74</v>
      </c>
      <c r="AY953" t="s">
        <v>74</v>
      </c>
      <c r="AZ953" t="s">
        <v>74</v>
      </c>
      <c r="BA953" t="s">
        <v>74</v>
      </c>
      <c r="BB953" t="s">
        <v>74</v>
      </c>
      <c r="BC953" t="s">
        <v>74</v>
      </c>
      <c r="BD953">
        <v>2061</v>
      </c>
      <c r="BE953" t="s">
        <v>13505</v>
      </c>
      <c r="BF953" t="str">
        <f>HYPERLINK("http://dx.doi.org/10.1029/2003GL018039","http://dx.doi.org/10.1029/2003GL018039")</f>
        <v>http://dx.doi.org/10.1029/2003GL018039</v>
      </c>
      <c r="BG953" t="s">
        <v>74</v>
      </c>
      <c r="BH953" t="s">
        <v>74</v>
      </c>
      <c r="BI953">
        <v>5</v>
      </c>
      <c r="BJ953" t="s">
        <v>560</v>
      </c>
      <c r="BK953" t="s">
        <v>96</v>
      </c>
      <c r="BL953" t="s">
        <v>561</v>
      </c>
      <c r="BM953" t="s">
        <v>13506</v>
      </c>
      <c r="BN953" t="s">
        <v>74</v>
      </c>
      <c r="BO953" t="s">
        <v>74</v>
      </c>
      <c r="BP953" t="s">
        <v>74</v>
      </c>
      <c r="BQ953" t="s">
        <v>74</v>
      </c>
      <c r="BR953" t="s">
        <v>99</v>
      </c>
      <c r="BS953" t="s">
        <v>13507</v>
      </c>
      <c r="BT953" t="str">
        <f>HYPERLINK("https%3A%2F%2Fwww.webofscience.com%2Fwos%2Fwoscc%2Ffull-record%2FWOS:000186394500003","View Full Record in Web of Science")</f>
        <v>View Full Record in Web of Science</v>
      </c>
    </row>
    <row r="954" spans="1:72" x14ac:dyDescent="0.15">
      <c r="A954" t="s">
        <v>72</v>
      </c>
      <c r="B954" t="s">
        <v>13508</v>
      </c>
      <c r="C954" t="s">
        <v>74</v>
      </c>
      <c r="D954" t="s">
        <v>74</v>
      </c>
      <c r="E954" t="s">
        <v>74</v>
      </c>
      <c r="F954" t="s">
        <v>13508</v>
      </c>
      <c r="G954" t="s">
        <v>74</v>
      </c>
      <c r="H954" t="s">
        <v>74</v>
      </c>
      <c r="I954" t="s">
        <v>13509</v>
      </c>
      <c r="J954" t="s">
        <v>13510</v>
      </c>
      <c r="K954" t="s">
        <v>74</v>
      </c>
      <c r="L954" t="s">
        <v>74</v>
      </c>
      <c r="M954" t="s">
        <v>77</v>
      </c>
      <c r="N954" t="s">
        <v>78</v>
      </c>
      <c r="O954" t="s">
        <v>74</v>
      </c>
      <c r="P954" t="s">
        <v>74</v>
      </c>
      <c r="Q954" t="s">
        <v>74</v>
      </c>
      <c r="R954" t="s">
        <v>74</v>
      </c>
      <c r="S954" t="s">
        <v>74</v>
      </c>
      <c r="T954" t="s">
        <v>13511</v>
      </c>
      <c r="U954" t="s">
        <v>13512</v>
      </c>
      <c r="V954" t="s">
        <v>13513</v>
      </c>
      <c r="W954" t="s">
        <v>13514</v>
      </c>
      <c r="X954" t="s">
        <v>13515</v>
      </c>
      <c r="Y954" t="s">
        <v>13516</v>
      </c>
      <c r="Z954" t="s">
        <v>74</v>
      </c>
      <c r="AA954" t="s">
        <v>13517</v>
      </c>
      <c r="AB954" t="s">
        <v>13518</v>
      </c>
      <c r="AC954" t="s">
        <v>74</v>
      </c>
      <c r="AD954" t="s">
        <v>74</v>
      </c>
      <c r="AE954" t="s">
        <v>74</v>
      </c>
      <c r="AF954" t="s">
        <v>74</v>
      </c>
      <c r="AG954">
        <v>19</v>
      </c>
      <c r="AH954">
        <v>200</v>
      </c>
      <c r="AI954">
        <v>224</v>
      </c>
      <c r="AJ954">
        <v>4</v>
      </c>
      <c r="AK954">
        <v>28</v>
      </c>
      <c r="AL954" t="s">
        <v>13519</v>
      </c>
      <c r="AM954" t="s">
        <v>364</v>
      </c>
      <c r="AN954" t="s">
        <v>13520</v>
      </c>
      <c r="AO954" t="s">
        <v>13521</v>
      </c>
      <c r="AP954" t="s">
        <v>74</v>
      </c>
      <c r="AQ954" t="s">
        <v>74</v>
      </c>
      <c r="AR954" t="s">
        <v>13522</v>
      </c>
      <c r="AS954" t="s">
        <v>13523</v>
      </c>
      <c r="AT954" t="s">
        <v>13504</v>
      </c>
      <c r="AU954">
        <v>2003</v>
      </c>
      <c r="AV954">
        <v>100</v>
      </c>
      <c r="AW954">
        <v>22</v>
      </c>
      <c r="AX954" t="s">
        <v>74</v>
      </c>
      <c r="AY954" t="s">
        <v>74</v>
      </c>
      <c r="AZ954" t="s">
        <v>74</v>
      </c>
      <c r="BA954" t="s">
        <v>74</v>
      </c>
      <c r="BB954">
        <v>12830</v>
      </c>
      <c r="BC954">
        <v>12835</v>
      </c>
      <c r="BD954" t="s">
        <v>74</v>
      </c>
      <c r="BE954" t="s">
        <v>13524</v>
      </c>
      <c r="BF954" t="str">
        <f>HYPERLINK("http://dx.doi.org/10.1073/pnas.2133554100","http://dx.doi.org/10.1073/pnas.2133554100")</f>
        <v>http://dx.doi.org/10.1073/pnas.2133554100</v>
      </c>
      <c r="BG954" t="s">
        <v>74</v>
      </c>
      <c r="BH954" t="s">
        <v>74</v>
      </c>
      <c r="BI954">
        <v>6</v>
      </c>
      <c r="BJ954" t="s">
        <v>454</v>
      </c>
      <c r="BK954" t="s">
        <v>96</v>
      </c>
      <c r="BL954" t="s">
        <v>455</v>
      </c>
      <c r="BM954" t="s">
        <v>13525</v>
      </c>
      <c r="BN954">
        <v>14566056</v>
      </c>
      <c r="BO954" t="s">
        <v>479</v>
      </c>
      <c r="BP954" t="s">
        <v>74</v>
      </c>
      <c r="BQ954" t="s">
        <v>74</v>
      </c>
      <c r="BR954" t="s">
        <v>99</v>
      </c>
      <c r="BS954" t="s">
        <v>13526</v>
      </c>
      <c r="BT954" t="str">
        <f>HYPERLINK("https%3A%2F%2Fwww.webofscience.com%2Fwos%2Fwoscc%2Ffull-record%2FWOS:000186301100059","View Full Record in Web of Science")</f>
        <v>View Full Record in Web of Science</v>
      </c>
    </row>
    <row r="955" spans="1:72" x14ac:dyDescent="0.15">
      <c r="A955" t="s">
        <v>72</v>
      </c>
      <c r="B955" t="s">
        <v>13527</v>
      </c>
      <c r="C955" t="s">
        <v>74</v>
      </c>
      <c r="D955" t="s">
        <v>74</v>
      </c>
      <c r="E955" t="s">
        <v>74</v>
      </c>
      <c r="F955" t="s">
        <v>13527</v>
      </c>
      <c r="G955" t="s">
        <v>74</v>
      </c>
      <c r="H955" t="s">
        <v>74</v>
      </c>
      <c r="I955" t="s">
        <v>13528</v>
      </c>
      <c r="J955" t="s">
        <v>10794</v>
      </c>
      <c r="K955" t="s">
        <v>74</v>
      </c>
      <c r="L955" t="s">
        <v>74</v>
      </c>
      <c r="M955" t="s">
        <v>77</v>
      </c>
      <c r="N955" t="s">
        <v>78</v>
      </c>
      <c r="O955" t="s">
        <v>74</v>
      </c>
      <c r="P955" t="s">
        <v>74</v>
      </c>
      <c r="Q955" t="s">
        <v>74</v>
      </c>
      <c r="R955" t="s">
        <v>74</v>
      </c>
      <c r="S955" t="s">
        <v>74</v>
      </c>
      <c r="T955" t="s">
        <v>13529</v>
      </c>
      <c r="U955" t="s">
        <v>13530</v>
      </c>
      <c r="V955" t="s">
        <v>13531</v>
      </c>
      <c r="W955" t="s">
        <v>13532</v>
      </c>
      <c r="X955" t="s">
        <v>13533</v>
      </c>
      <c r="Y955" t="s">
        <v>8046</v>
      </c>
      <c r="Z955" t="s">
        <v>13534</v>
      </c>
      <c r="AA955" t="s">
        <v>8209</v>
      </c>
      <c r="AB955" t="s">
        <v>8210</v>
      </c>
      <c r="AC955" t="s">
        <v>74</v>
      </c>
      <c r="AD955" t="s">
        <v>74</v>
      </c>
      <c r="AE955" t="s">
        <v>74</v>
      </c>
      <c r="AF955" t="s">
        <v>74</v>
      </c>
      <c r="AG955">
        <v>51</v>
      </c>
      <c r="AH955">
        <v>68</v>
      </c>
      <c r="AI955">
        <v>84</v>
      </c>
      <c r="AJ955">
        <v>2</v>
      </c>
      <c r="AK955">
        <v>16</v>
      </c>
      <c r="AL955" t="s">
        <v>363</v>
      </c>
      <c r="AM955" t="s">
        <v>364</v>
      </c>
      <c r="AN955" t="s">
        <v>365</v>
      </c>
      <c r="AO955" t="s">
        <v>10804</v>
      </c>
      <c r="AP955" t="s">
        <v>10805</v>
      </c>
      <c r="AQ955" t="s">
        <v>74</v>
      </c>
      <c r="AR955" t="s">
        <v>10806</v>
      </c>
      <c r="AS955" t="s">
        <v>10807</v>
      </c>
      <c r="AT955" t="s">
        <v>13535</v>
      </c>
      <c r="AU955">
        <v>2003</v>
      </c>
      <c r="AV955">
        <v>108</v>
      </c>
      <c r="AW955" t="s">
        <v>13536</v>
      </c>
      <c r="AX955" t="s">
        <v>74</v>
      </c>
      <c r="AY955" t="s">
        <v>74</v>
      </c>
      <c r="AZ955" t="s">
        <v>74</v>
      </c>
      <c r="BA955" t="s">
        <v>74</v>
      </c>
      <c r="BB955" t="s">
        <v>74</v>
      </c>
      <c r="BC955" t="s">
        <v>74</v>
      </c>
      <c r="BD955">
        <v>2499</v>
      </c>
      <c r="BE955" t="s">
        <v>13537</v>
      </c>
      <c r="BF955" t="str">
        <f>HYPERLINK("http://dx.doi.org/10.1029/2003JB002425","http://dx.doi.org/10.1029/2003JB002425")</f>
        <v>http://dx.doi.org/10.1029/2003JB002425</v>
      </c>
      <c r="BG955" t="s">
        <v>74</v>
      </c>
      <c r="BH955" t="s">
        <v>74</v>
      </c>
      <c r="BI955">
        <v>17</v>
      </c>
      <c r="BJ955" t="s">
        <v>262</v>
      </c>
      <c r="BK955" t="s">
        <v>96</v>
      </c>
      <c r="BL955" t="s">
        <v>262</v>
      </c>
      <c r="BM955" t="s">
        <v>13538</v>
      </c>
      <c r="BN955" t="s">
        <v>74</v>
      </c>
      <c r="BO955" t="s">
        <v>541</v>
      </c>
      <c r="BP955" t="s">
        <v>74</v>
      </c>
      <c r="BQ955" t="s">
        <v>74</v>
      </c>
      <c r="BR955" t="s">
        <v>99</v>
      </c>
      <c r="BS955" t="s">
        <v>13539</v>
      </c>
      <c r="BT955" t="str">
        <f>HYPERLINK("https%3A%2F%2Fwww.webofscience.com%2Fwos%2Fwoscc%2Ffull-record%2FWOS:000186200600001","View Full Record in Web of Science")</f>
        <v>View Full Record in Web of Science</v>
      </c>
    </row>
    <row r="956" spans="1:72" x14ac:dyDescent="0.15">
      <c r="A956" t="s">
        <v>72</v>
      </c>
      <c r="B956" t="s">
        <v>13540</v>
      </c>
      <c r="C956" t="s">
        <v>74</v>
      </c>
      <c r="D956" t="s">
        <v>74</v>
      </c>
      <c r="E956" t="s">
        <v>74</v>
      </c>
      <c r="F956" t="s">
        <v>13540</v>
      </c>
      <c r="G956" t="s">
        <v>74</v>
      </c>
      <c r="H956" t="s">
        <v>74</v>
      </c>
      <c r="I956" t="s">
        <v>13541</v>
      </c>
      <c r="J956" t="s">
        <v>3916</v>
      </c>
      <c r="K956" t="s">
        <v>74</v>
      </c>
      <c r="L956" t="s">
        <v>74</v>
      </c>
      <c r="M956" t="s">
        <v>77</v>
      </c>
      <c r="N956" t="s">
        <v>442</v>
      </c>
      <c r="O956" t="s">
        <v>74</v>
      </c>
      <c r="P956" t="s">
        <v>74</v>
      </c>
      <c r="Q956" t="s">
        <v>74</v>
      </c>
      <c r="R956" t="s">
        <v>74</v>
      </c>
      <c r="S956" t="s">
        <v>74</v>
      </c>
      <c r="T956" t="s">
        <v>74</v>
      </c>
      <c r="U956" t="s">
        <v>13542</v>
      </c>
      <c r="V956" t="s">
        <v>74</v>
      </c>
      <c r="W956" t="s">
        <v>13543</v>
      </c>
      <c r="X956" t="s">
        <v>74</v>
      </c>
      <c r="Y956" t="s">
        <v>13544</v>
      </c>
      <c r="Z956" t="s">
        <v>74</v>
      </c>
      <c r="AA956" t="s">
        <v>13545</v>
      </c>
      <c r="AB956" t="s">
        <v>13546</v>
      </c>
      <c r="AC956" t="s">
        <v>74</v>
      </c>
      <c r="AD956" t="s">
        <v>74</v>
      </c>
      <c r="AE956" t="s">
        <v>74</v>
      </c>
      <c r="AF956" t="s">
        <v>74</v>
      </c>
      <c r="AG956">
        <v>6</v>
      </c>
      <c r="AH956">
        <v>7</v>
      </c>
      <c r="AI956">
        <v>8</v>
      </c>
      <c r="AJ956">
        <v>1</v>
      </c>
      <c r="AK956">
        <v>14</v>
      </c>
      <c r="AL956" t="s">
        <v>3925</v>
      </c>
      <c r="AM956" t="s">
        <v>364</v>
      </c>
      <c r="AN956" t="s">
        <v>3926</v>
      </c>
      <c r="AO956" t="s">
        <v>3927</v>
      </c>
      <c r="AP956" t="s">
        <v>74</v>
      </c>
      <c r="AQ956" t="s">
        <v>74</v>
      </c>
      <c r="AR956" t="s">
        <v>3916</v>
      </c>
      <c r="AS956" t="s">
        <v>3929</v>
      </c>
      <c r="AT956" t="s">
        <v>13535</v>
      </c>
      <c r="AU956">
        <v>2003</v>
      </c>
      <c r="AV956">
        <v>302</v>
      </c>
      <c r="AW956">
        <v>5645</v>
      </c>
      <c r="AX956" t="s">
        <v>74</v>
      </c>
      <c r="AY956" t="s">
        <v>74</v>
      </c>
      <c r="AZ956" t="s">
        <v>74</v>
      </c>
      <c r="BA956" t="s">
        <v>74</v>
      </c>
      <c r="BB956">
        <v>565</v>
      </c>
      <c r="BC956">
        <v>565</v>
      </c>
      <c r="BD956" t="s">
        <v>74</v>
      </c>
      <c r="BE956" t="s">
        <v>74</v>
      </c>
      <c r="BF956" t="s">
        <v>74</v>
      </c>
      <c r="BG956" t="s">
        <v>74</v>
      </c>
      <c r="BH956" t="s">
        <v>74</v>
      </c>
      <c r="BI956">
        <v>1</v>
      </c>
      <c r="BJ956" t="s">
        <v>454</v>
      </c>
      <c r="BK956" t="s">
        <v>96</v>
      </c>
      <c r="BL956" t="s">
        <v>455</v>
      </c>
      <c r="BM956" t="s">
        <v>13547</v>
      </c>
      <c r="BN956">
        <v>14576401</v>
      </c>
      <c r="BO956" t="s">
        <v>74</v>
      </c>
      <c r="BP956" t="s">
        <v>74</v>
      </c>
      <c r="BQ956" t="s">
        <v>74</v>
      </c>
      <c r="BR956" t="s">
        <v>99</v>
      </c>
      <c r="BS956" t="s">
        <v>13548</v>
      </c>
      <c r="BT956" t="str">
        <f>HYPERLINK("https%3A%2F%2Fwww.webofscience.com%2Fwos%2Fwoscc%2Ffull-record%2FWOS:000186119900019","View Full Record in Web of Science")</f>
        <v>View Full Record in Web of Science</v>
      </c>
    </row>
    <row r="957" spans="1:72" x14ac:dyDescent="0.15">
      <c r="A957" t="s">
        <v>72</v>
      </c>
      <c r="B957" t="s">
        <v>13549</v>
      </c>
      <c r="C957" t="s">
        <v>74</v>
      </c>
      <c r="D957" t="s">
        <v>74</v>
      </c>
      <c r="E957" t="s">
        <v>74</v>
      </c>
      <c r="F957" t="s">
        <v>13549</v>
      </c>
      <c r="G957" t="s">
        <v>74</v>
      </c>
      <c r="H957" t="s">
        <v>74</v>
      </c>
      <c r="I957" t="s">
        <v>13550</v>
      </c>
      <c r="J957" t="s">
        <v>2496</v>
      </c>
      <c r="K957" t="s">
        <v>74</v>
      </c>
      <c r="L957" t="s">
        <v>74</v>
      </c>
      <c r="M957" t="s">
        <v>77</v>
      </c>
      <c r="N957" t="s">
        <v>268</v>
      </c>
      <c r="O957" t="s">
        <v>74</v>
      </c>
      <c r="P957" t="s">
        <v>74</v>
      </c>
      <c r="Q957" t="s">
        <v>74</v>
      </c>
      <c r="R957" t="s">
        <v>74</v>
      </c>
      <c r="S957" t="s">
        <v>74</v>
      </c>
      <c r="T957" t="s">
        <v>13551</v>
      </c>
      <c r="U957" t="s">
        <v>13552</v>
      </c>
      <c r="V957" t="s">
        <v>13553</v>
      </c>
      <c r="W957" t="s">
        <v>13554</v>
      </c>
      <c r="X957" t="s">
        <v>13555</v>
      </c>
      <c r="Y957" t="s">
        <v>13556</v>
      </c>
      <c r="Z957" t="s">
        <v>13557</v>
      </c>
      <c r="AA957" t="s">
        <v>13558</v>
      </c>
      <c r="AB957" t="s">
        <v>13559</v>
      </c>
      <c r="AC957" t="s">
        <v>74</v>
      </c>
      <c r="AD957" t="s">
        <v>74</v>
      </c>
      <c r="AE957" t="s">
        <v>74</v>
      </c>
      <c r="AF957" t="s">
        <v>74</v>
      </c>
      <c r="AG957">
        <v>73</v>
      </c>
      <c r="AH957">
        <v>621</v>
      </c>
      <c r="AI957">
        <v>696</v>
      </c>
      <c r="AJ957">
        <v>1</v>
      </c>
      <c r="AK957">
        <v>229</v>
      </c>
      <c r="AL957" t="s">
        <v>2502</v>
      </c>
      <c r="AM957" t="s">
        <v>1417</v>
      </c>
      <c r="AN957" t="s">
        <v>2503</v>
      </c>
      <c r="AO957" t="s">
        <v>2504</v>
      </c>
      <c r="AP957" t="s">
        <v>13560</v>
      </c>
      <c r="AQ957" t="s">
        <v>74</v>
      </c>
      <c r="AR957" t="s">
        <v>2505</v>
      </c>
      <c r="AS957" t="s">
        <v>2506</v>
      </c>
      <c r="AT957" t="s">
        <v>13561</v>
      </c>
      <c r="AU957">
        <v>2003</v>
      </c>
      <c r="AV957">
        <v>270</v>
      </c>
      <c r="AW957">
        <v>1529</v>
      </c>
      <c r="AX957" t="s">
        <v>74</v>
      </c>
      <c r="AY957" t="s">
        <v>74</v>
      </c>
      <c r="AZ957" t="s">
        <v>74</v>
      </c>
      <c r="BA957" t="s">
        <v>74</v>
      </c>
      <c r="BB957">
        <v>2087</v>
      </c>
      <c r="BC957">
        <v>2096</v>
      </c>
      <c r="BD957" t="s">
        <v>74</v>
      </c>
      <c r="BE957" t="s">
        <v>13562</v>
      </c>
      <c r="BF957" t="str">
        <f>HYPERLINK("http://dx.doi.org/10.1098/rspb.2003.2415","http://dx.doi.org/10.1098/rspb.2003.2415")</f>
        <v>http://dx.doi.org/10.1098/rspb.2003.2415</v>
      </c>
      <c r="BG957" t="s">
        <v>74</v>
      </c>
      <c r="BH957" t="s">
        <v>74</v>
      </c>
      <c r="BI957">
        <v>10</v>
      </c>
      <c r="BJ957" t="s">
        <v>2511</v>
      </c>
      <c r="BK957" t="s">
        <v>96</v>
      </c>
      <c r="BL957" t="s">
        <v>2512</v>
      </c>
      <c r="BM957" t="s">
        <v>13563</v>
      </c>
      <c r="BN957">
        <v>14561270</v>
      </c>
      <c r="BO957" t="s">
        <v>397</v>
      </c>
      <c r="BP957" t="s">
        <v>74</v>
      </c>
      <c r="BQ957" t="s">
        <v>74</v>
      </c>
      <c r="BR957" t="s">
        <v>99</v>
      </c>
      <c r="BS957" t="s">
        <v>13564</v>
      </c>
      <c r="BT957" t="str">
        <f>HYPERLINK("https%3A%2F%2Fwww.webofscience.com%2Fwos%2Fwoscc%2Ffull-record%2FWOS:000186067000001","View Full Record in Web of Science")</f>
        <v>View Full Record in Web of Science</v>
      </c>
    </row>
    <row r="958" spans="1:72" x14ac:dyDescent="0.15">
      <c r="A958" t="s">
        <v>72</v>
      </c>
      <c r="B958" t="s">
        <v>13565</v>
      </c>
      <c r="C958" t="s">
        <v>74</v>
      </c>
      <c r="D958" t="s">
        <v>74</v>
      </c>
      <c r="E958" t="s">
        <v>74</v>
      </c>
      <c r="F958" t="s">
        <v>13565</v>
      </c>
      <c r="G958" t="s">
        <v>74</v>
      </c>
      <c r="H958" t="s">
        <v>74</v>
      </c>
      <c r="I958" t="s">
        <v>13566</v>
      </c>
      <c r="J958" t="s">
        <v>13567</v>
      </c>
      <c r="K958" t="s">
        <v>74</v>
      </c>
      <c r="L958" t="s">
        <v>74</v>
      </c>
      <c r="M958" t="s">
        <v>77</v>
      </c>
      <c r="N958" t="s">
        <v>268</v>
      </c>
      <c r="O958" t="s">
        <v>74</v>
      </c>
      <c r="P958" t="s">
        <v>74</v>
      </c>
      <c r="Q958" t="s">
        <v>74</v>
      </c>
      <c r="R958" t="s">
        <v>74</v>
      </c>
      <c r="S958" t="s">
        <v>74</v>
      </c>
      <c r="T958" t="s">
        <v>13568</v>
      </c>
      <c r="U958" t="s">
        <v>13569</v>
      </c>
      <c r="V958" t="s">
        <v>13570</v>
      </c>
      <c r="W958" t="s">
        <v>13571</v>
      </c>
      <c r="X958" t="s">
        <v>13572</v>
      </c>
      <c r="Y958" t="s">
        <v>13573</v>
      </c>
      <c r="Z958" t="s">
        <v>13574</v>
      </c>
      <c r="AA958" t="s">
        <v>13575</v>
      </c>
      <c r="AB958" t="s">
        <v>13576</v>
      </c>
      <c r="AC958" t="s">
        <v>74</v>
      </c>
      <c r="AD958" t="s">
        <v>74</v>
      </c>
      <c r="AE958" t="s">
        <v>74</v>
      </c>
      <c r="AF958" t="s">
        <v>74</v>
      </c>
      <c r="AG958">
        <v>210</v>
      </c>
      <c r="AH958">
        <v>218</v>
      </c>
      <c r="AI958">
        <v>232</v>
      </c>
      <c r="AJ958">
        <v>0</v>
      </c>
      <c r="AK958">
        <v>38</v>
      </c>
      <c r="AL958" t="s">
        <v>363</v>
      </c>
      <c r="AM958" t="s">
        <v>364</v>
      </c>
      <c r="AN958" t="s">
        <v>365</v>
      </c>
      <c r="AO958" t="s">
        <v>13577</v>
      </c>
      <c r="AP958" t="s">
        <v>13578</v>
      </c>
      <c r="AQ958" t="s">
        <v>74</v>
      </c>
      <c r="AR958" t="s">
        <v>13579</v>
      </c>
      <c r="AS958" t="s">
        <v>13580</v>
      </c>
      <c r="AT958" t="s">
        <v>13561</v>
      </c>
      <c r="AU958">
        <v>2003</v>
      </c>
      <c r="AV958">
        <v>41</v>
      </c>
      <c r="AW958">
        <v>4</v>
      </c>
      <c r="AX958" t="s">
        <v>74</v>
      </c>
      <c r="AY958" t="s">
        <v>74</v>
      </c>
      <c r="AZ958" t="s">
        <v>74</v>
      </c>
      <c r="BA958" t="s">
        <v>74</v>
      </c>
      <c r="BB958" t="s">
        <v>74</v>
      </c>
      <c r="BC958" t="s">
        <v>74</v>
      </c>
      <c r="BD958">
        <v>1015</v>
      </c>
      <c r="BE958" t="s">
        <v>13581</v>
      </c>
      <c r="BF958" t="str">
        <f>HYPERLINK("http://dx.doi.org/10.1029/2002RG000121","http://dx.doi.org/10.1029/2002RG000121")</f>
        <v>http://dx.doi.org/10.1029/2002RG000121</v>
      </c>
      <c r="BG958" t="s">
        <v>74</v>
      </c>
      <c r="BH958" t="s">
        <v>74</v>
      </c>
      <c r="BI958">
        <v>41</v>
      </c>
      <c r="BJ958" t="s">
        <v>262</v>
      </c>
      <c r="BK958" t="s">
        <v>96</v>
      </c>
      <c r="BL958" t="s">
        <v>262</v>
      </c>
      <c r="BM958" t="s">
        <v>13582</v>
      </c>
      <c r="BN958" t="s">
        <v>74</v>
      </c>
      <c r="BO958" t="s">
        <v>623</v>
      </c>
      <c r="BP958" t="s">
        <v>74</v>
      </c>
      <c r="BQ958" t="s">
        <v>74</v>
      </c>
      <c r="BR958" t="s">
        <v>99</v>
      </c>
      <c r="BS958" t="s">
        <v>13583</v>
      </c>
      <c r="BT958" t="str">
        <f>HYPERLINK("https%3A%2F%2Fwww.webofscience.com%2Fwos%2Fwoscc%2Ffull-record%2FWOS:000186201400001","View Full Record in Web of Science")</f>
        <v>View Full Record in Web of Science</v>
      </c>
    </row>
    <row r="959" spans="1:72" x14ac:dyDescent="0.15">
      <c r="A959" t="s">
        <v>72</v>
      </c>
      <c r="B959" t="s">
        <v>13584</v>
      </c>
      <c r="C959" t="s">
        <v>74</v>
      </c>
      <c r="D959" t="s">
        <v>74</v>
      </c>
      <c r="E959" t="s">
        <v>74</v>
      </c>
      <c r="F959" t="s">
        <v>13584</v>
      </c>
      <c r="G959" t="s">
        <v>74</v>
      </c>
      <c r="H959" t="s">
        <v>74</v>
      </c>
      <c r="I959" t="s">
        <v>13585</v>
      </c>
      <c r="J959" t="s">
        <v>356</v>
      </c>
      <c r="K959" t="s">
        <v>74</v>
      </c>
      <c r="L959" t="s">
        <v>74</v>
      </c>
      <c r="M959" t="s">
        <v>77</v>
      </c>
      <c r="N959" t="s">
        <v>78</v>
      </c>
      <c r="O959" t="s">
        <v>74</v>
      </c>
      <c r="P959" t="s">
        <v>74</v>
      </c>
      <c r="Q959" t="s">
        <v>74</v>
      </c>
      <c r="R959" t="s">
        <v>74</v>
      </c>
      <c r="S959" t="s">
        <v>74</v>
      </c>
      <c r="T959" t="s">
        <v>13586</v>
      </c>
      <c r="U959" t="s">
        <v>13587</v>
      </c>
      <c r="V959" t="s">
        <v>13588</v>
      </c>
      <c r="W959" t="s">
        <v>13589</v>
      </c>
      <c r="X959" t="s">
        <v>13590</v>
      </c>
      <c r="Y959" t="s">
        <v>13591</v>
      </c>
      <c r="Z959" t="s">
        <v>74</v>
      </c>
      <c r="AA959" t="s">
        <v>13592</v>
      </c>
      <c r="AB959" t="s">
        <v>74</v>
      </c>
      <c r="AC959" t="s">
        <v>74</v>
      </c>
      <c r="AD959" t="s">
        <v>74</v>
      </c>
      <c r="AE959" t="s">
        <v>74</v>
      </c>
      <c r="AF959" t="s">
        <v>74</v>
      </c>
      <c r="AG959">
        <v>34</v>
      </c>
      <c r="AH959">
        <v>7</v>
      </c>
      <c r="AI959">
        <v>10</v>
      </c>
      <c r="AJ959">
        <v>0</v>
      </c>
      <c r="AK959">
        <v>3</v>
      </c>
      <c r="AL959" t="s">
        <v>363</v>
      </c>
      <c r="AM959" t="s">
        <v>364</v>
      </c>
      <c r="AN959" t="s">
        <v>365</v>
      </c>
      <c r="AO959" t="s">
        <v>366</v>
      </c>
      <c r="AP959" t="s">
        <v>74</v>
      </c>
      <c r="AQ959" t="s">
        <v>74</v>
      </c>
      <c r="AR959" t="s">
        <v>367</v>
      </c>
      <c r="AS959" t="s">
        <v>368</v>
      </c>
      <c r="AT959" t="s">
        <v>13593</v>
      </c>
      <c r="AU959">
        <v>2003</v>
      </c>
      <c r="AV959">
        <v>17</v>
      </c>
      <c r="AW959">
        <v>4</v>
      </c>
      <c r="AX959" t="s">
        <v>74</v>
      </c>
      <c r="AY959" t="s">
        <v>74</v>
      </c>
      <c r="AZ959" t="s">
        <v>74</v>
      </c>
      <c r="BA959" t="s">
        <v>74</v>
      </c>
      <c r="BB959" t="s">
        <v>74</v>
      </c>
      <c r="BC959" t="s">
        <v>74</v>
      </c>
      <c r="BD959">
        <v>1101</v>
      </c>
      <c r="BE959" t="s">
        <v>13594</v>
      </c>
      <c r="BF959" t="str">
        <f>HYPERLINK("http://dx.doi.org/10.1029/2002GB002024","http://dx.doi.org/10.1029/2002GB002024")</f>
        <v>http://dx.doi.org/10.1029/2002GB002024</v>
      </c>
      <c r="BG959" t="s">
        <v>74</v>
      </c>
      <c r="BH959" t="s">
        <v>74</v>
      </c>
      <c r="BI959">
        <v>10</v>
      </c>
      <c r="BJ959" t="s">
        <v>372</v>
      </c>
      <c r="BK959" t="s">
        <v>96</v>
      </c>
      <c r="BL959" t="s">
        <v>373</v>
      </c>
      <c r="BM959" t="s">
        <v>13595</v>
      </c>
      <c r="BN959" t="s">
        <v>74</v>
      </c>
      <c r="BO959" t="s">
        <v>541</v>
      </c>
      <c r="BP959" t="s">
        <v>74</v>
      </c>
      <c r="BQ959" t="s">
        <v>74</v>
      </c>
      <c r="BR959" t="s">
        <v>99</v>
      </c>
      <c r="BS959" t="s">
        <v>13596</v>
      </c>
      <c r="BT959" t="str">
        <f>HYPERLINK("https%3A%2F%2Fwww.webofscience.com%2Fwos%2Fwoscc%2Ffull-record%2FWOS:000186198400002","View Full Record in Web of Science")</f>
        <v>View Full Record in Web of Science</v>
      </c>
    </row>
    <row r="960" spans="1:72" x14ac:dyDescent="0.15">
      <c r="A960" t="s">
        <v>72</v>
      </c>
      <c r="B960" t="s">
        <v>13597</v>
      </c>
      <c r="C960" t="s">
        <v>74</v>
      </c>
      <c r="D960" t="s">
        <v>74</v>
      </c>
      <c r="E960" t="s">
        <v>74</v>
      </c>
      <c r="F960" t="s">
        <v>13597</v>
      </c>
      <c r="G960" t="s">
        <v>74</v>
      </c>
      <c r="H960" t="s">
        <v>74</v>
      </c>
      <c r="I960" t="s">
        <v>13598</v>
      </c>
      <c r="J960" t="s">
        <v>460</v>
      </c>
      <c r="K960" t="s">
        <v>74</v>
      </c>
      <c r="L960" t="s">
        <v>74</v>
      </c>
      <c r="M960" t="s">
        <v>77</v>
      </c>
      <c r="N960" t="s">
        <v>78</v>
      </c>
      <c r="O960" t="s">
        <v>74</v>
      </c>
      <c r="P960" t="s">
        <v>74</v>
      </c>
      <c r="Q960" t="s">
        <v>74</v>
      </c>
      <c r="R960" t="s">
        <v>74</v>
      </c>
      <c r="S960" t="s">
        <v>74</v>
      </c>
      <c r="T960" t="s">
        <v>13599</v>
      </c>
      <c r="U960" t="s">
        <v>13600</v>
      </c>
      <c r="V960" t="s">
        <v>13601</v>
      </c>
      <c r="W960" t="s">
        <v>13602</v>
      </c>
      <c r="X960" t="s">
        <v>13603</v>
      </c>
      <c r="Y960" t="s">
        <v>13604</v>
      </c>
      <c r="Z960" t="s">
        <v>13605</v>
      </c>
      <c r="AA960" t="s">
        <v>13606</v>
      </c>
      <c r="AB960" t="s">
        <v>13607</v>
      </c>
      <c r="AC960" t="s">
        <v>74</v>
      </c>
      <c r="AD960" t="s">
        <v>74</v>
      </c>
      <c r="AE960" t="s">
        <v>74</v>
      </c>
      <c r="AF960" t="s">
        <v>74</v>
      </c>
      <c r="AG960">
        <v>74</v>
      </c>
      <c r="AH960">
        <v>41</v>
      </c>
      <c r="AI960">
        <v>44</v>
      </c>
      <c r="AJ960">
        <v>0</v>
      </c>
      <c r="AK960">
        <v>10</v>
      </c>
      <c r="AL960" t="s">
        <v>363</v>
      </c>
      <c r="AM960" t="s">
        <v>364</v>
      </c>
      <c r="AN960" t="s">
        <v>365</v>
      </c>
      <c r="AO960" t="s">
        <v>470</v>
      </c>
      <c r="AP960" t="s">
        <v>471</v>
      </c>
      <c r="AQ960" t="s">
        <v>74</v>
      </c>
      <c r="AR960" t="s">
        <v>472</v>
      </c>
      <c r="AS960" t="s">
        <v>473</v>
      </c>
      <c r="AT960" t="s">
        <v>13593</v>
      </c>
      <c r="AU960">
        <v>2003</v>
      </c>
      <c r="AV960">
        <v>108</v>
      </c>
      <c r="AW960" t="s">
        <v>13608</v>
      </c>
      <c r="AX960" t="s">
        <v>74</v>
      </c>
      <c r="AY960" t="s">
        <v>74</v>
      </c>
      <c r="AZ960" t="s">
        <v>74</v>
      </c>
      <c r="BA960" t="s">
        <v>74</v>
      </c>
      <c r="BB960" t="s">
        <v>74</v>
      </c>
      <c r="BC960" t="s">
        <v>74</v>
      </c>
      <c r="BD960">
        <v>3329</v>
      </c>
      <c r="BE960" t="s">
        <v>13609</v>
      </c>
      <c r="BF960" t="str">
        <f>HYPERLINK("http://dx.doi.org/10.1029/2002JC001543","http://dx.doi.org/10.1029/2002JC001543")</f>
        <v>http://dx.doi.org/10.1029/2002JC001543</v>
      </c>
      <c r="BG960" t="s">
        <v>74</v>
      </c>
      <c r="BH960" t="s">
        <v>74</v>
      </c>
      <c r="BI960">
        <v>15</v>
      </c>
      <c r="BJ960" t="s">
        <v>477</v>
      </c>
      <c r="BK960" t="s">
        <v>96</v>
      </c>
      <c r="BL960" t="s">
        <v>477</v>
      </c>
      <c r="BM960" t="s">
        <v>13610</v>
      </c>
      <c r="BN960" t="s">
        <v>74</v>
      </c>
      <c r="BO960" t="s">
        <v>541</v>
      </c>
      <c r="BP960" t="s">
        <v>74</v>
      </c>
      <c r="BQ960" t="s">
        <v>74</v>
      </c>
      <c r="BR960" t="s">
        <v>99</v>
      </c>
      <c r="BS960" t="s">
        <v>13611</v>
      </c>
      <c r="BT960" t="str">
        <f>HYPERLINK("https%3A%2F%2Fwww.webofscience.com%2Fwos%2Fwoscc%2Ffull-record%2FWOS:000186199300002","View Full Record in Web of Science")</f>
        <v>View Full Record in Web of Science</v>
      </c>
    </row>
    <row r="961" spans="1:72" x14ac:dyDescent="0.15">
      <c r="A961" t="s">
        <v>72</v>
      </c>
      <c r="B961" t="s">
        <v>13612</v>
      </c>
      <c r="C961" t="s">
        <v>74</v>
      </c>
      <c r="D961" t="s">
        <v>74</v>
      </c>
      <c r="E961" t="s">
        <v>74</v>
      </c>
      <c r="F961" t="s">
        <v>13612</v>
      </c>
      <c r="G961" t="s">
        <v>74</v>
      </c>
      <c r="H961" t="s">
        <v>74</v>
      </c>
      <c r="I961" t="s">
        <v>13613</v>
      </c>
      <c r="J961" t="s">
        <v>10794</v>
      </c>
      <c r="K961" t="s">
        <v>74</v>
      </c>
      <c r="L961" t="s">
        <v>74</v>
      </c>
      <c r="M961" t="s">
        <v>77</v>
      </c>
      <c r="N961" t="s">
        <v>78</v>
      </c>
      <c r="O961" t="s">
        <v>74</v>
      </c>
      <c r="P961" t="s">
        <v>74</v>
      </c>
      <c r="Q961" t="s">
        <v>74</v>
      </c>
      <c r="R961" t="s">
        <v>74</v>
      </c>
      <c r="S961" t="s">
        <v>74</v>
      </c>
      <c r="T961" t="s">
        <v>13614</v>
      </c>
      <c r="U961" t="s">
        <v>13615</v>
      </c>
      <c r="V961" t="s">
        <v>13616</v>
      </c>
      <c r="W961" t="s">
        <v>13617</v>
      </c>
      <c r="X961" t="s">
        <v>10667</v>
      </c>
      <c r="Y961" t="s">
        <v>13618</v>
      </c>
      <c r="Z961" t="s">
        <v>13619</v>
      </c>
      <c r="AA961" t="s">
        <v>13620</v>
      </c>
      <c r="AB961" t="s">
        <v>13621</v>
      </c>
      <c r="AC961" t="s">
        <v>74</v>
      </c>
      <c r="AD961" t="s">
        <v>74</v>
      </c>
      <c r="AE961" t="s">
        <v>74</v>
      </c>
      <c r="AF961" t="s">
        <v>74</v>
      </c>
      <c r="AG961">
        <v>59</v>
      </c>
      <c r="AH961">
        <v>44</v>
      </c>
      <c r="AI961">
        <v>47</v>
      </c>
      <c r="AJ961">
        <v>0</v>
      </c>
      <c r="AK961">
        <v>10</v>
      </c>
      <c r="AL961" t="s">
        <v>363</v>
      </c>
      <c r="AM961" t="s">
        <v>364</v>
      </c>
      <c r="AN961" t="s">
        <v>365</v>
      </c>
      <c r="AO961" t="s">
        <v>10804</v>
      </c>
      <c r="AP961" t="s">
        <v>10805</v>
      </c>
      <c r="AQ961" t="s">
        <v>74</v>
      </c>
      <c r="AR961" t="s">
        <v>10806</v>
      </c>
      <c r="AS961" t="s">
        <v>10807</v>
      </c>
      <c r="AT961" t="s">
        <v>13593</v>
      </c>
      <c r="AU961">
        <v>2003</v>
      </c>
      <c r="AV961">
        <v>108</v>
      </c>
      <c r="AW961" t="s">
        <v>13536</v>
      </c>
      <c r="AX961" t="s">
        <v>74</v>
      </c>
      <c r="AY961" t="s">
        <v>74</v>
      </c>
      <c r="AZ961" t="s">
        <v>74</v>
      </c>
      <c r="BA961" t="s">
        <v>74</v>
      </c>
      <c r="BB961" t="s">
        <v>74</v>
      </c>
      <c r="BC961" t="s">
        <v>74</v>
      </c>
      <c r="BD961">
        <v>2492</v>
      </c>
      <c r="BE961" t="s">
        <v>13622</v>
      </c>
      <c r="BF961" t="str">
        <f>HYPERLINK("http://dx.doi.org/10.1029/2003JB002468","http://dx.doi.org/10.1029/2003JB002468")</f>
        <v>http://dx.doi.org/10.1029/2003JB002468</v>
      </c>
      <c r="BG961" t="s">
        <v>74</v>
      </c>
      <c r="BH961" t="s">
        <v>74</v>
      </c>
      <c r="BI961">
        <v>21</v>
      </c>
      <c r="BJ961" t="s">
        <v>262</v>
      </c>
      <c r="BK961" t="s">
        <v>96</v>
      </c>
      <c r="BL961" t="s">
        <v>262</v>
      </c>
      <c r="BM961" t="s">
        <v>13623</v>
      </c>
      <c r="BN961" t="s">
        <v>74</v>
      </c>
      <c r="BO961" t="s">
        <v>541</v>
      </c>
      <c r="BP961" t="s">
        <v>74</v>
      </c>
      <c r="BQ961" t="s">
        <v>74</v>
      </c>
      <c r="BR961" t="s">
        <v>99</v>
      </c>
      <c r="BS961" t="s">
        <v>13624</v>
      </c>
      <c r="BT961" t="str">
        <f>HYPERLINK("https%3A%2F%2Fwww.webofscience.com%2Fwos%2Fwoscc%2Ffull-record%2FWOS:000186200400004","View Full Record in Web of Science")</f>
        <v>View Full Record in Web of Science</v>
      </c>
    </row>
    <row r="962" spans="1:72" x14ac:dyDescent="0.15">
      <c r="A962" t="s">
        <v>72</v>
      </c>
      <c r="B962" t="s">
        <v>13625</v>
      </c>
      <c r="C962" t="s">
        <v>74</v>
      </c>
      <c r="D962" t="s">
        <v>74</v>
      </c>
      <c r="E962" t="s">
        <v>74</v>
      </c>
      <c r="F962" t="s">
        <v>13625</v>
      </c>
      <c r="G962" t="s">
        <v>74</v>
      </c>
      <c r="H962" t="s">
        <v>74</v>
      </c>
      <c r="I962" t="s">
        <v>13626</v>
      </c>
      <c r="J962" t="s">
        <v>545</v>
      </c>
      <c r="K962" t="s">
        <v>74</v>
      </c>
      <c r="L962" t="s">
        <v>74</v>
      </c>
      <c r="M962" t="s">
        <v>77</v>
      </c>
      <c r="N962" t="s">
        <v>78</v>
      </c>
      <c r="O962" t="s">
        <v>74</v>
      </c>
      <c r="P962" t="s">
        <v>74</v>
      </c>
      <c r="Q962" t="s">
        <v>74</v>
      </c>
      <c r="R962" t="s">
        <v>74</v>
      </c>
      <c r="S962" t="s">
        <v>74</v>
      </c>
      <c r="T962" t="s">
        <v>74</v>
      </c>
      <c r="U962" t="s">
        <v>13627</v>
      </c>
      <c r="V962" t="s">
        <v>13628</v>
      </c>
      <c r="W962" t="s">
        <v>13629</v>
      </c>
      <c r="X962" t="s">
        <v>13630</v>
      </c>
      <c r="Y962" t="s">
        <v>13631</v>
      </c>
      <c r="Z962" t="s">
        <v>74</v>
      </c>
      <c r="AA962" t="s">
        <v>13632</v>
      </c>
      <c r="AB962" t="s">
        <v>13633</v>
      </c>
      <c r="AC962" t="s">
        <v>74</v>
      </c>
      <c r="AD962" t="s">
        <v>74</v>
      </c>
      <c r="AE962" t="s">
        <v>74</v>
      </c>
      <c r="AF962" t="s">
        <v>74</v>
      </c>
      <c r="AG962">
        <v>28</v>
      </c>
      <c r="AH962">
        <v>76</v>
      </c>
      <c r="AI962">
        <v>91</v>
      </c>
      <c r="AJ962">
        <v>0</v>
      </c>
      <c r="AK962">
        <v>18</v>
      </c>
      <c r="AL962" t="s">
        <v>363</v>
      </c>
      <c r="AM962" t="s">
        <v>364</v>
      </c>
      <c r="AN962" t="s">
        <v>365</v>
      </c>
      <c r="AO962" t="s">
        <v>553</v>
      </c>
      <c r="AP962" t="s">
        <v>74</v>
      </c>
      <c r="AQ962" t="s">
        <v>74</v>
      </c>
      <c r="AR962" t="s">
        <v>555</v>
      </c>
      <c r="AS962" t="s">
        <v>556</v>
      </c>
      <c r="AT962" t="s">
        <v>13634</v>
      </c>
      <c r="AU962">
        <v>2003</v>
      </c>
      <c r="AV962">
        <v>30</v>
      </c>
      <c r="AW962">
        <v>20</v>
      </c>
      <c r="AX962" t="s">
        <v>74</v>
      </c>
      <c r="AY962" t="s">
        <v>74</v>
      </c>
      <c r="AZ962" t="s">
        <v>74</v>
      </c>
      <c r="BA962" t="s">
        <v>74</v>
      </c>
      <c r="BB962" t="s">
        <v>74</v>
      </c>
      <c r="BC962" t="s">
        <v>74</v>
      </c>
      <c r="BD962">
        <v>2031</v>
      </c>
      <c r="BE962" t="s">
        <v>13635</v>
      </c>
      <c r="BF962" t="str">
        <f>HYPERLINK("http://dx.doi.org/10.1029/2003GL017931","http://dx.doi.org/10.1029/2003GL017931")</f>
        <v>http://dx.doi.org/10.1029/2003GL017931</v>
      </c>
      <c r="BG962" t="s">
        <v>74</v>
      </c>
      <c r="BH962" t="s">
        <v>74</v>
      </c>
      <c r="BI962">
        <v>4</v>
      </c>
      <c r="BJ962" t="s">
        <v>560</v>
      </c>
      <c r="BK962" t="s">
        <v>96</v>
      </c>
      <c r="BL962" t="s">
        <v>561</v>
      </c>
      <c r="BM962" t="s">
        <v>13636</v>
      </c>
      <c r="BN962" t="s">
        <v>74</v>
      </c>
      <c r="BO962" t="s">
        <v>541</v>
      </c>
      <c r="BP962" t="s">
        <v>74</v>
      </c>
      <c r="BQ962" t="s">
        <v>74</v>
      </c>
      <c r="BR962" t="s">
        <v>99</v>
      </c>
      <c r="BS962" t="s">
        <v>13637</v>
      </c>
      <c r="BT962" t="str">
        <f>HYPERLINK("https%3A%2F%2Fwww.webofscience.com%2Fwos%2Fwoscc%2Ffull-record%2FWOS:000186086800002","View Full Record in Web of Science")</f>
        <v>View Full Record in Web of Science</v>
      </c>
    </row>
    <row r="963" spans="1:72" x14ac:dyDescent="0.15">
      <c r="A963" t="s">
        <v>72</v>
      </c>
      <c r="B963" t="s">
        <v>13638</v>
      </c>
      <c r="C963" t="s">
        <v>74</v>
      </c>
      <c r="D963" t="s">
        <v>74</v>
      </c>
      <c r="E963" t="s">
        <v>74</v>
      </c>
      <c r="F963" t="s">
        <v>13638</v>
      </c>
      <c r="G963" t="s">
        <v>74</v>
      </c>
      <c r="H963" t="s">
        <v>74</v>
      </c>
      <c r="I963" t="s">
        <v>13639</v>
      </c>
      <c r="J963" t="s">
        <v>13640</v>
      </c>
      <c r="K963" t="s">
        <v>74</v>
      </c>
      <c r="L963" t="s">
        <v>74</v>
      </c>
      <c r="M963" t="s">
        <v>77</v>
      </c>
      <c r="N963" t="s">
        <v>78</v>
      </c>
      <c r="O963" t="s">
        <v>74</v>
      </c>
      <c r="P963" t="s">
        <v>74</v>
      </c>
      <c r="Q963" t="s">
        <v>74</v>
      </c>
      <c r="R963" t="s">
        <v>74</v>
      </c>
      <c r="S963" t="s">
        <v>74</v>
      </c>
      <c r="T963" t="s">
        <v>13641</v>
      </c>
      <c r="U963" t="s">
        <v>74</v>
      </c>
      <c r="V963" t="s">
        <v>13642</v>
      </c>
      <c r="W963" t="s">
        <v>13643</v>
      </c>
      <c r="X963" t="s">
        <v>10055</v>
      </c>
      <c r="Y963" t="s">
        <v>13644</v>
      </c>
      <c r="Z963" t="s">
        <v>74</v>
      </c>
      <c r="AA963" t="s">
        <v>74</v>
      </c>
      <c r="AB963" t="s">
        <v>74</v>
      </c>
      <c r="AC963" t="s">
        <v>74</v>
      </c>
      <c r="AD963" t="s">
        <v>74</v>
      </c>
      <c r="AE963" t="s">
        <v>74</v>
      </c>
      <c r="AF963" t="s">
        <v>74</v>
      </c>
      <c r="AG963">
        <v>9</v>
      </c>
      <c r="AH963">
        <v>4</v>
      </c>
      <c r="AI963">
        <v>5</v>
      </c>
      <c r="AJ963">
        <v>0</v>
      </c>
      <c r="AK963">
        <v>7</v>
      </c>
      <c r="AL963" t="s">
        <v>13645</v>
      </c>
      <c r="AM963" t="s">
        <v>178</v>
      </c>
      <c r="AN963" t="s">
        <v>13646</v>
      </c>
      <c r="AO963" t="s">
        <v>13647</v>
      </c>
      <c r="AP963" t="s">
        <v>74</v>
      </c>
      <c r="AQ963" t="s">
        <v>74</v>
      </c>
      <c r="AR963" t="s">
        <v>13648</v>
      </c>
      <c r="AS963" t="s">
        <v>13649</v>
      </c>
      <c r="AT963" t="s">
        <v>13650</v>
      </c>
      <c r="AU963">
        <v>2003</v>
      </c>
      <c r="AV963">
        <v>90</v>
      </c>
      <c r="AW963">
        <v>3</v>
      </c>
      <c r="AX963" t="s">
        <v>74</v>
      </c>
      <c r="AY963" t="s">
        <v>74</v>
      </c>
      <c r="AZ963" t="s">
        <v>74</v>
      </c>
      <c r="BA963" t="s">
        <v>74</v>
      </c>
      <c r="BB963">
        <v>806</v>
      </c>
      <c r="BC963">
        <v>809</v>
      </c>
      <c r="BD963" t="s">
        <v>74</v>
      </c>
      <c r="BE963" t="s">
        <v>13651</v>
      </c>
      <c r="BF963" t="str">
        <f>HYPERLINK("http://dx.doi.org/10.1002/app.12582","http://dx.doi.org/10.1002/app.12582")</f>
        <v>http://dx.doi.org/10.1002/app.12582</v>
      </c>
      <c r="BG963" t="s">
        <v>74</v>
      </c>
      <c r="BH963" t="s">
        <v>74</v>
      </c>
      <c r="BI963">
        <v>4</v>
      </c>
      <c r="BJ963" t="s">
        <v>13652</v>
      </c>
      <c r="BK963" t="s">
        <v>96</v>
      </c>
      <c r="BL963" t="s">
        <v>13652</v>
      </c>
      <c r="BM963" t="s">
        <v>13653</v>
      </c>
      <c r="BN963" t="s">
        <v>74</v>
      </c>
      <c r="BO963" t="s">
        <v>74</v>
      </c>
      <c r="BP963" t="s">
        <v>74</v>
      </c>
      <c r="BQ963" t="s">
        <v>74</v>
      </c>
      <c r="BR963" t="s">
        <v>99</v>
      </c>
      <c r="BS963" t="s">
        <v>13654</v>
      </c>
      <c r="BT963" t="str">
        <f>HYPERLINK("https%3A%2F%2Fwww.webofscience.com%2Fwos%2Fwoscc%2Ffull-record%2FWOS:000184943400027","View Full Record in Web of Science")</f>
        <v>View Full Record in Web of Science</v>
      </c>
    </row>
    <row r="964" spans="1:72" x14ac:dyDescent="0.15">
      <c r="A964" t="s">
        <v>72</v>
      </c>
      <c r="B964" t="s">
        <v>13655</v>
      </c>
      <c r="C964" t="s">
        <v>74</v>
      </c>
      <c r="D964" t="s">
        <v>74</v>
      </c>
      <c r="E964" t="s">
        <v>74</v>
      </c>
      <c r="F964" t="s">
        <v>13655</v>
      </c>
      <c r="G964" t="s">
        <v>74</v>
      </c>
      <c r="H964" t="s">
        <v>74</v>
      </c>
      <c r="I964" t="s">
        <v>13656</v>
      </c>
      <c r="J964" t="s">
        <v>378</v>
      </c>
      <c r="K964" t="s">
        <v>74</v>
      </c>
      <c r="L964" t="s">
        <v>74</v>
      </c>
      <c r="M964" t="s">
        <v>77</v>
      </c>
      <c r="N964" t="s">
        <v>78</v>
      </c>
      <c r="O964" t="s">
        <v>74</v>
      </c>
      <c r="P964" t="s">
        <v>74</v>
      </c>
      <c r="Q964" t="s">
        <v>74</v>
      </c>
      <c r="R964" t="s">
        <v>74</v>
      </c>
      <c r="S964" t="s">
        <v>74</v>
      </c>
      <c r="T964" t="s">
        <v>13657</v>
      </c>
      <c r="U964" t="s">
        <v>13658</v>
      </c>
      <c r="V964" t="s">
        <v>13659</v>
      </c>
      <c r="W964" t="s">
        <v>13660</v>
      </c>
      <c r="X964" t="s">
        <v>13661</v>
      </c>
      <c r="Y964" t="s">
        <v>7764</v>
      </c>
      <c r="Z964" t="s">
        <v>13662</v>
      </c>
      <c r="AA964" t="s">
        <v>13663</v>
      </c>
      <c r="AB964" t="s">
        <v>13664</v>
      </c>
      <c r="AC964" t="s">
        <v>74</v>
      </c>
      <c r="AD964" t="s">
        <v>74</v>
      </c>
      <c r="AE964" t="s">
        <v>74</v>
      </c>
      <c r="AF964" t="s">
        <v>74</v>
      </c>
      <c r="AG964">
        <v>31</v>
      </c>
      <c r="AH964">
        <v>23</v>
      </c>
      <c r="AI964">
        <v>25</v>
      </c>
      <c r="AJ964">
        <v>0</v>
      </c>
      <c r="AK964">
        <v>4</v>
      </c>
      <c r="AL964" t="s">
        <v>363</v>
      </c>
      <c r="AM964" t="s">
        <v>364</v>
      </c>
      <c r="AN964" t="s">
        <v>365</v>
      </c>
      <c r="AO964" t="s">
        <v>388</v>
      </c>
      <c r="AP964" t="s">
        <v>389</v>
      </c>
      <c r="AQ964" t="s">
        <v>74</v>
      </c>
      <c r="AR964" t="s">
        <v>390</v>
      </c>
      <c r="AS964" t="s">
        <v>391</v>
      </c>
      <c r="AT964" t="s">
        <v>13650</v>
      </c>
      <c r="AU964">
        <v>2003</v>
      </c>
      <c r="AV964">
        <v>108</v>
      </c>
      <c r="AW964" t="s">
        <v>13665</v>
      </c>
      <c r="AX964" t="s">
        <v>74</v>
      </c>
      <c r="AY964" t="s">
        <v>74</v>
      </c>
      <c r="AZ964" t="s">
        <v>74</v>
      </c>
      <c r="BA964" t="s">
        <v>74</v>
      </c>
      <c r="BB964" t="s">
        <v>74</v>
      </c>
      <c r="BC964" t="s">
        <v>74</v>
      </c>
      <c r="BD964">
        <v>1365</v>
      </c>
      <c r="BE964" t="s">
        <v>13666</v>
      </c>
      <c r="BF964" t="str">
        <f>HYPERLINK("http://dx.doi.org/10.1029/2003JA009866","http://dx.doi.org/10.1029/2003JA009866")</f>
        <v>http://dx.doi.org/10.1029/2003JA009866</v>
      </c>
      <c r="BG964" t="s">
        <v>74</v>
      </c>
      <c r="BH964" t="s">
        <v>74</v>
      </c>
      <c r="BI964">
        <v>10</v>
      </c>
      <c r="BJ964" t="s">
        <v>395</v>
      </c>
      <c r="BK964" t="s">
        <v>96</v>
      </c>
      <c r="BL964" t="s">
        <v>395</v>
      </c>
      <c r="BM964" t="s">
        <v>13667</v>
      </c>
      <c r="BN964" t="s">
        <v>74</v>
      </c>
      <c r="BO964" t="s">
        <v>541</v>
      </c>
      <c r="BP964" t="s">
        <v>74</v>
      </c>
      <c r="BQ964" t="s">
        <v>74</v>
      </c>
      <c r="BR964" t="s">
        <v>99</v>
      </c>
      <c r="BS964" t="s">
        <v>13668</v>
      </c>
      <c r="BT964" t="str">
        <f>HYPERLINK("https%3A%2F%2Fwww.webofscience.com%2Fwos%2Fwoscc%2Ffull-record%2FWOS:000186090700001","View Full Record in Web of Science")</f>
        <v>View Full Record in Web of Science</v>
      </c>
    </row>
    <row r="965" spans="1:72" x14ac:dyDescent="0.15">
      <c r="A965" t="s">
        <v>72</v>
      </c>
      <c r="B965" t="s">
        <v>13669</v>
      </c>
      <c r="C965" t="s">
        <v>74</v>
      </c>
      <c r="D965" t="s">
        <v>74</v>
      </c>
      <c r="E965" t="s">
        <v>74</v>
      </c>
      <c r="F965" t="s">
        <v>13669</v>
      </c>
      <c r="G965" t="s">
        <v>74</v>
      </c>
      <c r="H965" t="s">
        <v>74</v>
      </c>
      <c r="I965" t="s">
        <v>13670</v>
      </c>
      <c r="J965" t="s">
        <v>10794</v>
      </c>
      <c r="K965" t="s">
        <v>74</v>
      </c>
      <c r="L965" t="s">
        <v>74</v>
      </c>
      <c r="M965" t="s">
        <v>77</v>
      </c>
      <c r="N965" t="s">
        <v>78</v>
      </c>
      <c r="O965" t="s">
        <v>74</v>
      </c>
      <c r="P965" t="s">
        <v>74</v>
      </c>
      <c r="Q965" t="s">
        <v>74</v>
      </c>
      <c r="R965" t="s">
        <v>74</v>
      </c>
      <c r="S965" t="s">
        <v>74</v>
      </c>
      <c r="T965" t="s">
        <v>13671</v>
      </c>
      <c r="U965" t="s">
        <v>13672</v>
      </c>
      <c r="V965" t="s">
        <v>13673</v>
      </c>
      <c r="W965" t="s">
        <v>13674</v>
      </c>
      <c r="X965" t="s">
        <v>13675</v>
      </c>
      <c r="Y965" t="s">
        <v>13676</v>
      </c>
      <c r="Z965" t="s">
        <v>13677</v>
      </c>
      <c r="AA965" t="s">
        <v>74</v>
      </c>
      <c r="AB965" t="s">
        <v>74</v>
      </c>
      <c r="AC965" t="s">
        <v>74</v>
      </c>
      <c r="AD965" t="s">
        <v>74</v>
      </c>
      <c r="AE965" t="s">
        <v>74</v>
      </c>
      <c r="AF965" t="s">
        <v>74</v>
      </c>
      <c r="AG965">
        <v>40</v>
      </c>
      <c r="AH965">
        <v>22</v>
      </c>
      <c r="AI965">
        <v>23</v>
      </c>
      <c r="AJ965">
        <v>0</v>
      </c>
      <c r="AK965">
        <v>5</v>
      </c>
      <c r="AL965" t="s">
        <v>363</v>
      </c>
      <c r="AM965" t="s">
        <v>364</v>
      </c>
      <c r="AN965" t="s">
        <v>365</v>
      </c>
      <c r="AO965" t="s">
        <v>10804</v>
      </c>
      <c r="AP965" t="s">
        <v>10805</v>
      </c>
      <c r="AQ965" t="s">
        <v>74</v>
      </c>
      <c r="AR965" t="s">
        <v>10806</v>
      </c>
      <c r="AS965" t="s">
        <v>10807</v>
      </c>
      <c r="AT965" t="s">
        <v>13678</v>
      </c>
      <c r="AU965">
        <v>2003</v>
      </c>
      <c r="AV965">
        <v>108</v>
      </c>
      <c r="AW965" t="s">
        <v>13536</v>
      </c>
      <c r="AX965" t="s">
        <v>74</v>
      </c>
      <c r="AY965" t="s">
        <v>74</v>
      </c>
      <c r="AZ965" t="s">
        <v>74</v>
      </c>
      <c r="BA965" t="s">
        <v>74</v>
      </c>
      <c r="BB965" t="s">
        <v>74</v>
      </c>
      <c r="BC965" t="s">
        <v>74</v>
      </c>
      <c r="BD965">
        <v>2474</v>
      </c>
      <c r="BE965" t="s">
        <v>13679</v>
      </c>
      <c r="BF965" t="str">
        <f>HYPERLINK("http://dx.doi.org/10.1029/2002JB002364","http://dx.doi.org/10.1029/2002JB002364")</f>
        <v>http://dx.doi.org/10.1029/2002JB002364</v>
      </c>
      <c r="BG965" t="s">
        <v>74</v>
      </c>
      <c r="BH965" t="s">
        <v>74</v>
      </c>
      <c r="BI965">
        <v>13</v>
      </c>
      <c r="BJ965" t="s">
        <v>262</v>
      </c>
      <c r="BK965" t="s">
        <v>96</v>
      </c>
      <c r="BL965" t="s">
        <v>262</v>
      </c>
      <c r="BM965" t="s">
        <v>13680</v>
      </c>
      <c r="BN965" t="s">
        <v>74</v>
      </c>
      <c r="BO965" t="s">
        <v>541</v>
      </c>
      <c r="BP965" t="s">
        <v>74</v>
      </c>
      <c r="BQ965" t="s">
        <v>74</v>
      </c>
      <c r="BR965" t="s">
        <v>99</v>
      </c>
      <c r="BS965" t="s">
        <v>13681</v>
      </c>
      <c r="BT965" t="str">
        <f>HYPERLINK("https%3A%2F%2Fwww.webofscience.com%2Fwos%2Fwoscc%2Ffull-record%2FWOS:000186090100006","View Full Record in Web of Science")</f>
        <v>View Full Record in Web of Science</v>
      </c>
    </row>
    <row r="966" spans="1:72" x14ac:dyDescent="0.15">
      <c r="A966" t="s">
        <v>72</v>
      </c>
      <c r="B966" t="s">
        <v>13682</v>
      </c>
      <c r="C966" t="s">
        <v>74</v>
      </c>
      <c r="D966" t="s">
        <v>74</v>
      </c>
      <c r="E966" t="s">
        <v>74</v>
      </c>
      <c r="F966" t="s">
        <v>13682</v>
      </c>
      <c r="G966" t="s">
        <v>74</v>
      </c>
      <c r="H966" t="s">
        <v>74</v>
      </c>
      <c r="I966" t="s">
        <v>13683</v>
      </c>
      <c r="J966" t="s">
        <v>2128</v>
      </c>
      <c r="K966" t="s">
        <v>74</v>
      </c>
      <c r="L966" t="s">
        <v>74</v>
      </c>
      <c r="M966" t="s">
        <v>77</v>
      </c>
      <c r="N966" t="s">
        <v>78</v>
      </c>
      <c r="O966" t="s">
        <v>74</v>
      </c>
      <c r="P966" t="s">
        <v>74</v>
      </c>
      <c r="Q966" t="s">
        <v>74</v>
      </c>
      <c r="R966" t="s">
        <v>74</v>
      </c>
      <c r="S966" t="s">
        <v>74</v>
      </c>
      <c r="T966" t="s">
        <v>13684</v>
      </c>
      <c r="U966" t="s">
        <v>13685</v>
      </c>
      <c r="V966" t="s">
        <v>13686</v>
      </c>
      <c r="W966" t="s">
        <v>13687</v>
      </c>
      <c r="X966" t="s">
        <v>13688</v>
      </c>
      <c r="Y966" t="s">
        <v>13689</v>
      </c>
      <c r="Z966" t="s">
        <v>13690</v>
      </c>
      <c r="AA966" t="s">
        <v>13691</v>
      </c>
      <c r="AB966" t="s">
        <v>74</v>
      </c>
      <c r="AC966" t="s">
        <v>74</v>
      </c>
      <c r="AD966" t="s">
        <v>74</v>
      </c>
      <c r="AE966" t="s">
        <v>74</v>
      </c>
      <c r="AF966" t="s">
        <v>74</v>
      </c>
      <c r="AG966">
        <v>18</v>
      </c>
      <c r="AH966">
        <v>81</v>
      </c>
      <c r="AI966">
        <v>91</v>
      </c>
      <c r="AJ966">
        <v>2</v>
      </c>
      <c r="AK966">
        <v>25</v>
      </c>
      <c r="AL966" t="s">
        <v>685</v>
      </c>
      <c r="AM966" t="s">
        <v>529</v>
      </c>
      <c r="AN966" t="s">
        <v>686</v>
      </c>
      <c r="AO966" t="s">
        <v>2138</v>
      </c>
      <c r="AP966" t="s">
        <v>2139</v>
      </c>
      <c r="AQ966" t="s">
        <v>74</v>
      </c>
      <c r="AR966" t="s">
        <v>2140</v>
      </c>
      <c r="AS966" t="s">
        <v>2141</v>
      </c>
      <c r="AT966" t="s">
        <v>13692</v>
      </c>
      <c r="AU966">
        <v>2003</v>
      </c>
      <c r="AV966">
        <v>215</v>
      </c>
      <c r="AW966" t="s">
        <v>536</v>
      </c>
      <c r="AX966" t="s">
        <v>74</v>
      </c>
      <c r="AY966" t="s">
        <v>74</v>
      </c>
      <c r="AZ966" t="s">
        <v>74</v>
      </c>
      <c r="BA966" t="s">
        <v>74</v>
      </c>
      <c r="BB966">
        <v>237</v>
      </c>
      <c r="BC966">
        <v>247</v>
      </c>
      <c r="BD966" t="s">
        <v>74</v>
      </c>
      <c r="BE966" t="s">
        <v>13693</v>
      </c>
      <c r="BF966" t="str">
        <f>HYPERLINK("http://dx.doi.org/10.1016/S0012-821X(03)00427-8","http://dx.doi.org/10.1016/S0012-821X(03)00427-8")</f>
        <v>http://dx.doi.org/10.1016/S0012-821X(03)00427-8</v>
      </c>
      <c r="BG966" t="s">
        <v>74</v>
      </c>
      <c r="BH966" t="s">
        <v>74</v>
      </c>
      <c r="BI966">
        <v>11</v>
      </c>
      <c r="BJ966" t="s">
        <v>262</v>
      </c>
      <c r="BK966" t="s">
        <v>96</v>
      </c>
      <c r="BL966" t="s">
        <v>262</v>
      </c>
      <c r="BM966" t="s">
        <v>13694</v>
      </c>
      <c r="BN966" t="s">
        <v>74</v>
      </c>
      <c r="BO966" t="s">
        <v>74</v>
      </c>
      <c r="BP966" t="s">
        <v>74</v>
      </c>
      <c r="BQ966" t="s">
        <v>74</v>
      </c>
      <c r="BR966" t="s">
        <v>99</v>
      </c>
      <c r="BS966" t="s">
        <v>13695</v>
      </c>
      <c r="BT966" t="str">
        <f>HYPERLINK("https%3A%2F%2Fwww.webofscience.com%2Fwos%2Fwoscc%2Ffull-record%2FWOS:000186099100016","View Full Record in Web of Science")</f>
        <v>View Full Record in Web of Science</v>
      </c>
    </row>
    <row r="967" spans="1:72" x14ac:dyDescent="0.15">
      <c r="A967" t="s">
        <v>72</v>
      </c>
      <c r="B967" t="s">
        <v>13696</v>
      </c>
      <c r="C967" t="s">
        <v>74</v>
      </c>
      <c r="D967" t="s">
        <v>74</v>
      </c>
      <c r="E967" t="s">
        <v>74</v>
      </c>
      <c r="F967" t="s">
        <v>13696</v>
      </c>
      <c r="G967" t="s">
        <v>74</v>
      </c>
      <c r="H967" t="s">
        <v>74</v>
      </c>
      <c r="I967" t="s">
        <v>13697</v>
      </c>
      <c r="J967" t="s">
        <v>2128</v>
      </c>
      <c r="K967" t="s">
        <v>74</v>
      </c>
      <c r="L967" t="s">
        <v>74</v>
      </c>
      <c r="M967" t="s">
        <v>77</v>
      </c>
      <c r="N967" t="s">
        <v>822</v>
      </c>
      <c r="O967" t="s">
        <v>74</v>
      </c>
      <c r="P967" t="s">
        <v>74</v>
      </c>
      <c r="Q967" t="s">
        <v>74</v>
      </c>
      <c r="R967" t="s">
        <v>74</v>
      </c>
      <c r="S967" t="s">
        <v>74</v>
      </c>
      <c r="T967" t="s">
        <v>13698</v>
      </c>
      <c r="U967" t="s">
        <v>13699</v>
      </c>
      <c r="V967" t="s">
        <v>74</v>
      </c>
      <c r="W967" t="s">
        <v>13700</v>
      </c>
      <c r="X967" t="s">
        <v>13701</v>
      </c>
      <c r="Y967" t="s">
        <v>13702</v>
      </c>
      <c r="Z967" t="s">
        <v>13703</v>
      </c>
      <c r="AA967" t="s">
        <v>13704</v>
      </c>
      <c r="AB967" t="s">
        <v>74</v>
      </c>
      <c r="AC967" t="s">
        <v>74</v>
      </c>
      <c r="AD967" t="s">
        <v>74</v>
      </c>
      <c r="AE967" t="s">
        <v>74</v>
      </c>
      <c r="AF967" t="s">
        <v>74</v>
      </c>
      <c r="AG967">
        <v>28</v>
      </c>
      <c r="AH967">
        <v>19</v>
      </c>
      <c r="AI967">
        <v>22</v>
      </c>
      <c r="AJ967">
        <v>0</v>
      </c>
      <c r="AK967">
        <v>2</v>
      </c>
      <c r="AL967" t="s">
        <v>528</v>
      </c>
      <c r="AM967" t="s">
        <v>529</v>
      </c>
      <c r="AN967" t="s">
        <v>530</v>
      </c>
      <c r="AO967" t="s">
        <v>2138</v>
      </c>
      <c r="AP967" t="s">
        <v>74</v>
      </c>
      <c r="AQ967" t="s">
        <v>74</v>
      </c>
      <c r="AR967" t="s">
        <v>2140</v>
      </c>
      <c r="AS967" t="s">
        <v>2141</v>
      </c>
      <c r="AT967" t="s">
        <v>13692</v>
      </c>
      <c r="AU967">
        <v>2003</v>
      </c>
      <c r="AV967">
        <v>215</v>
      </c>
      <c r="AW967" t="s">
        <v>536</v>
      </c>
      <c r="AX967" t="s">
        <v>74</v>
      </c>
      <c r="AY967" t="s">
        <v>74</v>
      </c>
      <c r="AZ967" t="s">
        <v>74</v>
      </c>
      <c r="BA967" t="s">
        <v>74</v>
      </c>
      <c r="BB967">
        <v>307</v>
      </c>
      <c r="BC967">
        <v>316</v>
      </c>
      <c r="BD967" t="s">
        <v>74</v>
      </c>
      <c r="BE967" t="s">
        <v>13705</v>
      </c>
      <c r="BF967" t="str">
        <f>HYPERLINK("http://dx.doi.org/10.1016/S0012-821X(03)00434-5","http://dx.doi.org/10.1016/S0012-821X(03)00434-5")</f>
        <v>http://dx.doi.org/10.1016/S0012-821X(03)00434-5</v>
      </c>
      <c r="BG967" t="s">
        <v>74</v>
      </c>
      <c r="BH967" t="s">
        <v>74</v>
      </c>
      <c r="BI967">
        <v>10</v>
      </c>
      <c r="BJ967" t="s">
        <v>262</v>
      </c>
      <c r="BK967" t="s">
        <v>96</v>
      </c>
      <c r="BL967" t="s">
        <v>262</v>
      </c>
      <c r="BM967" t="s">
        <v>13694</v>
      </c>
      <c r="BN967" t="s">
        <v>74</v>
      </c>
      <c r="BO967" t="s">
        <v>74</v>
      </c>
      <c r="BP967" t="s">
        <v>74</v>
      </c>
      <c r="BQ967" t="s">
        <v>74</v>
      </c>
      <c r="BR967" t="s">
        <v>99</v>
      </c>
      <c r="BS967" t="s">
        <v>13706</v>
      </c>
      <c r="BT967" t="str">
        <f>HYPERLINK("https%3A%2F%2Fwww.webofscience.com%2Fwos%2Fwoscc%2Ffull-record%2FWOS:000186099100022","View Full Record in Web of Science")</f>
        <v>View Full Record in Web of Science</v>
      </c>
    </row>
    <row r="968" spans="1:72" x14ac:dyDescent="0.15">
      <c r="A968" t="s">
        <v>72</v>
      </c>
      <c r="B968" t="s">
        <v>13707</v>
      </c>
      <c r="C968" t="s">
        <v>74</v>
      </c>
      <c r="D968" t="s">
        <v>74</v>
      </c>
      <c r="E968" t="s">
        <v>74</v>
      </c>
      <c r="F968" t="s">
        <v>13707</v>
      </c>
      <c r="G968" t="s">
        <v>74</v>
      </c>
      <c r="H968" t="s">
        <v>74</v>
      </c>
      <c r="I968" t="s">
        <v>13708</v>
      </c>
      <c r="J968" t="s">
        <v>13709</v>
      </c>
      <c r="K968" t="s">
        <v>74</v>
      </c>
      <c r="L968" t="s">
        <v>74</v>
      </c>
      <c r="M968" t="s">
        <v>77</v>
      </c>
      <c r="N968" t="s">
        <v>1463</v>
      </c>
      <c r="O968" t="s">
        <v>74</v>
      </c>
      <c r="P968" t="s">
        <v>74</v>
      </c>
      <c r="Q968" t="s">
        <v>74</v>
      </c>
      <c r="R968" t="s">
        <v>74</v>
      </c>
      <c r="S968" t="s">
        <v>74</v>
      </c>
      <c r="T968" t="s">
        <v>74</v>
      </c>
      <c r="U968" t="s">
        <v>74</v>
      </c>
      <c r="V968" t="s">
        <v>74</v>
      </c>
      <c r="W968" t="s">
        <v>13710</v>
      </c>
      <c r="X968" t="s">
        <v>13711</v>
      </c>
      <c r="Y968" t="s">
        <v>13712</v>
      </c>
      <c r="Z968" t="s">
        <v>74</v>
      </c>
      <c r="AA968" t="s">
        <v>74</v>
      </c>
      <c r="AB968" t="s">
        <v>74</v>
      </c>
      <c r="AC968" t="s">
        <v>74</v>
      </c>
      <c r="AD968" t="s">
        <v>74</v>
      </c>
      <c r="AE968" t="s">
        <v>74</v>
      </c>
      <c r="AF968" t="s">
        <v>74</v>
      </c>
      <c r="AG968">
        <v>1</v>
      </c>
      <c r="AH968">
        <v>0</v>
      </c>
      <c r="AI968">
        <v>0</v>
      </c>
      <c r="AJ968">
        <v>0</v>
      </c>
      <c r="AK968">
        <v>0</v>
      </c>
      <c r="AL968" t="s">
        <v>13713</v>
      </c>
      <c r="AM968" t="s">
        <v>87</v>
      </c>
      <c r="AN968" t="s">
        <v>13714</v>
      </c>
      <c r="AO968" t="s">
        <v>13715</v>
      </c>
      <c r="AP968" t="s">
        <v>74</v>
      </c>
      <c r="AQ968" t="s">
        <v>74</v>
      </c>
      <c r="AR968" t="s">
        <v>13716</v>
      </c>
      <c r="AS968" t="s">
        <v>13717</v>
      </c>
      <c r="AT968" t="s">
        <v>13692</v>
      </c>
      <c r="AU968">
        <v>2003</v>
      </c>
      <c r="AV968">
        <v>128</v>
      </c>
      <c r="AW968">
        <v>17</v>
      </c>
      <c r="AX968" t="s">
        <v>74</v>
      </c>
      <c r="AY968" t="s">
        <v>74</v>
      </c>
      <c r="AZ968" t="s">
        <v>74</v>
      </c>
      <c r="BA968" t="s">
        <v>74</v>
      </c>
      <c r="BB968">
        <v>81</v>
      </c>
      <c r="BC968">
        <v>81</v>
      </c>
      <c r="BD968" t="s">
        <v>74</v>
      </c>
      <c r="BE968" t="s">
        <v>74</v>
      </c>
      <c r="BF968" t="s">
        <v>74</v>
      </c>
      <c r="BG968" t="s">
        <v>74</v>
      </c>
      <c r="BH968" t="s">
        <v>74</v>
      </c>
      <c r="BI968">
        <v>1</v>
      </c>
      <c r="BJ968" t="s">
        <v>8259</v>
      </c>
      <c r="BK968" t="s">
        <v>8260</v>
      </c>
      <c r="BL968" t="s">
        <v>8259</v>
      </c>
      <c r="BM968" t="s">
        <v>13718</v>
      </c>
      <c r="BN968" t="s">
        <v>74</v>
      </c>
      <c r="BO968" t="s">
        <v>74</v>
      </c>
      <c r="BP968" t="s">
        <v>74</v>
      </c>
      <c r="BQ968" t="s">
        <v>74</v>
      </c>
      <c r="BR968" t="s">
        <v>99</v>
      </c>
      <c r="BS968" t="s">
        <v>13719</v>
      </c>
      <c r="BT968" t="str">
        <f>HYPERLINK("https%3A%2F%2Fwww.webofscience.com%2Fwos%2Fwoscc%2Ffull-record%2FWOS:000185753700135","View Full Record in Web of Science")</f>
        <v>View Full Record in Web of Science</v>
      </c>
    </row>
    <row r="969" spans="1:72" x14ac:dyDescent="0.15">
      <c r="A969" t="s">
        <v>72</v>
      </c>
      <c r="B969" t="s">
        <v>13720</v>
      </c>
      <c r="C969" t="s">
        <v>74</v>
      </c>
      <c r="D969" t="s">
        <v>74</v>
      </c>
      <c r="E969" t="s">
        <v>74</v>
      </c>
      <c r="F969" t="s">
        <v>13720</v>
      </c>
      <c r="G969" t="s">
        <v>74</v>
      </c>
      <c r="H969" t="s">
        <v>74</v>
      </c>
      <c r="I969" t="s">
        <v>13721</v>
      </c>
      <c r="J969" t="s">
        <v>799</v>
      </c>
      <c r="K969" t="s">
        <v>74</v>
      </c>
      <c r="L969" t="s">
        <v>74</v>
      </c>
      <c r="M969" t="s">
        <v>77</v>
      </c>
      <c r="N969" t="s">
        <v>78</v>
      </c>
      <c r="O969" t="s">
        <v>74</v>
      </c>
      <c r="P969" t="s">
        <v>74</v>
      </c>
      <c r="Q969" t="s">
        <v>74</v>
      </c>
      <c r="R969" t="s">
        <v>74</v>
      </c>
      <c r="S969" t="s">
        <v>74</v>
      </c>
      <c r="T969" t="s">
        <v>13722</v>
      </c>
      <c r="U969" t="s">
        <v>13723</v>
      </c>
      <c r="V969" t="s">
        <v>13724</v>
      </c>
      <c r="W969" t="s">
        <v>13725</v>
      </c>
      <c r="X969" t="s">
        <v>13726</v>
      </c>
      <c r="Y969" t="s">
        <v>13727</v>
      </c>
      <c r="Z969" t="s">
        <v>13728</v>
      </c>
      <c r="AA969" t="s">
        <v>74</v>
      </c>
      <c r="AB969" t="s">
        <v>74</v>
      </c>
      <c r="AC969" t="s">
        <v>74</v>
      </c>
      <c r="AD969" t="s">
        <v>74</v>
      </c>
      <c r="AE969" t="s">
        <v>74</v>
      </c>
      <c r="AF969" t="s">
        <v>74</v>
      </c>
      <c r="AG969">
        <v>68</v>
      </c>
      <c r="AH969">
        <v>11</v>
      </c>
      <c r="AI969">
        <v>12</v>
      </c>
      <c r="AJ969">
        <v>0</v>
      </c>
      <c r="AK969">
        <v>7</v>
      </c>
      <c r="AL969" t="s">
        <v>363</v>
      </c>
      <c r="AM969" t="s">
        <v>364</v>
      </c>
      <c r="AN969" t="s">
        <v>365</v>
      </c>
      <c r="AO969" t="s">
        <v>809</v>
      </c>
      <c r="AP969" t="s">
        <v>810</v>
      </c>
      <c r="AQ969" t="s">
        <v>74</v>
      </c>
      <c r="AR969" t="s">
        <v>799</v>
      </c>
      <c r="AS969" t="s">
        <v>811</v>
      </c>
      <c r="AT969" t="s">
        <v>13692</v>
      </c>
      <c r="AU969">
        <v>2003</v>
      </c>
      <c r="AV969">
        <v>18</v>
      </c>
      <c r="AW969">
        <v>4</v>
      </c>
      <c r="AX969" t="s">
        <v>74</v>
      </c>
      <c r="AY969" t="s">
        <v>74</v>
      </c>
      <c r="AZ969" t="s">
        <v>74</v>
      </c>
      <c r="BA969" t="s">
        <v>74</v>
      </c>
      <c r="BB969" t="s">
        <v>74</v>
      </c>
      <c r="BC969" t="s">
        <v>74</v>
      </c>
      <c r="BD969">
        <v>1081</v>
      </c>
      <c r="BE969" t="s">
        <v>13729</v>
      </c>
      <c r="BF969" t="str">
        <f>HYPERLINK("http://dx.doi.org/10.1029/2002PA000850","http://dx.doi.org/10.1029/2002PA000850")</f>
        <v>http://dx.doi.org/10.1029/2002PA000850</v>
      </c>
      <c r="BG969" t="s">
        <v>74</v>
      </c>
      <c r="BH969" t="s">
        <v>74</v>
      </c>
      <c r="BI969">
        <v>17</v>
      </c>
      <c r="BJ969" t="s">
        <v>814</v>
      </c>
      <c r="BK969" t="s">
        <v>96</v>
      </c>
      <c r="BL969" t="s">
        <v>815</v>
      </c>
      <c r="BM969" t="s">
        <v>13730</v>
      </c>
      <c r="BN969" t="s">
        <v>74</v>
      </c>
      <c r="BO969" t="s">
        <v>541</v>
      </c>
      <c r="BP969" t="s">
        <v>74</v>
      </c>
      <c r="BQ969" t="s">
        <v>74</v>
      </c>
      <c r="BR969" t="s">
        <v>99</v>
      </c>
      <c r="BS969" t="s">
        <v>13731</v>
      </c>
      <c r="BT969" t="str">
        <f>HYPERLINK("https%3A%2F%2Fwww.webofscience.com%2Fwos%2Fwoscc%2Ffull-record%2FWOS:000186090900001","View Full Record in Web of Science")</f>
        <v>View Full Record in Web of Science</v>
      </c>
    </row>
    <row r="970" spans="1:72" x14ac:dyDescent="0.15">
      <c r="A970" t="s">
        <v>72</v>
      </c>
      <c r="B970" t="s">
        <v>13732</v>
      </c>
      <c r="C970" t="s">
        <v>74</v>
      </c>
      <c r="D970" t="s">
        <v>74</v>
      </c>
      <c r="E970" t="s">
        <v>74</v>
      </c>
      <c r="F970" t="s">
        <v>13732</v>
      </c>
      <c r="G970" t="s">
        <v>74</v>
      </c>
      <c r="H970" t="s">
        <v>74</v>
      </c>
      <c r="I970" t="s">
        <v>13733</v>
      </c>
      <c r="J970" t="s">
        <v>10735</v>
      </c>
      <c r="K970" t="s">
        <v>74</v>
      </c>
      <c r="L970" t="s">
        <v>74</v>
      </c>
      <c r="M970" t="s">
        <v>77</v>
      </c>
      <c r="N970" t="s">
        <v>78</v>
      </c>
      <c r="O970" t="s">
        <v>74</v>
      </c>
      <c r="P970" t="s">
        <v>74</v>
      </c>
      <c r="Q970" t="s">
        <v>74</v>
      </c>
      <c r="R970" t="s">
        <v>74</v>
      </c>
      <c r="S970" t="s">
        <v>74</v>
      </c>
      <c r="T970" t="s">
        <v>13734</v>
      </c>
      <c r="U970" t="s">
        <v>13735</v>
      </c>
      <c r="V970" t="s">
        <v>13736</v>
      </c>
      <c r="W970" t="s">
        <v>13737</v>
      </c>
      <c r="X970" t="s">
        <v>13738</v>
      </c>
      <c r="Y970" t="s">
        <v>13739</v>
      </c>
      <c r="Z970" t="s">
        <v>74</v>
      </c>
      <c r="AA970" t="s">
        <v>13740</v>
      </c>
      <c r="AB970" t="s">
        <v>13741</v>
      </c>
      <c r="AC970" t="s">
        <v>74</v>
      </c>
      <c r="AD970" t="s">
        <v>74</v>
      </c>
      <c r="AE970" t="s">
        <v>74</v>
      </c>
      <c r="AF970" t="s">
        <v>74</v>
      </c>
      <c r="AG970">
        <v>64</v>
      </c>
      <c r="AH970">
        <v>48</v>
      </c>
      <c r="AI970">
        <v>50</v>
      </c>
      <c r="AJ970">
        <v>0</v>
      </c>
      <c r="AK970">
        <v>7</v>
      </c>
      <c r="AL970" t="s">
        <v>363</v>
      </c>
      <c r="AM970" t="s">
        <v>364</v>
      </c>
      <c r="AN970" t="s">
        <v>365</v>
      </c>
      <c r="AO970" t="s">
        <v>10744</v>
      </c>
      <c r="AP970" t="s">
        <v>74</v>
      </c>
      <c r="AQ970" t="s">
        <v>74</v>
      </c>
      <c r="AR970" t="s">
        <v>10735</v>
      </c>
      <c r="AS970" t="s">
        <v>10746</v>
      </c>
      <c r="AT970" t="s">
        <v>13692</v>
      </c>
      <c r="AU970">
        <v>2003</v>
      </c>
      <c r="AV970">
        <v>22</v>
      </c>
      <c r="AW970">
        <v>5</v>
      </c>
      <c r="AX970" t="s">
        <v>74</v>
      </c>
      <c r="AY970" t="s">
        <v>74</v>
      </c>
      <c r="AZ970" t="s">
        <v>74</v>
      </c>
      <c r="BA970" t="s">
        <v>74</v>
      </c>
      <c r="BB970" t="s">
        <v>74</v>
      </c>
      <c r="BC970" t="s">
        <v>74</v>
      </c>
      <c r="BD970">
        <v>1055</v>
      </c>
      <c r="BE970" t="s">
        <v>13742</v>
      </c>
      <c r="BF970" t="str">
        <f>HYPERLINK("http://dx.doi.org/10.1029/2002TC001477","http://dx.doi.org/10.1029/2002TC001477")</f>
        <v>http://dx.doi.org/10.1029/2002TC001477</v>
      </c>
      <c r="BG970" t="s">
        <v>74</v>
      </c>
      <c r="BH970" t="s">
        <v>74</v>
      </c>
      <c r="BI970">
        <v>14</v>
      </c>
      <c r="BJ970" t="s">
        <v>262</v>
      </c>
      <c r="BK970" t="s">
        <v>96</v>
      </c>
      <c r="BL970" t="s">
        <v>262</v>
      </c>
      <c r="BM970" t="s">
        <v>13743</v>
      </c>
      <c r="BN970" t="s">
        <v>74</v>
      </c>
      <c r="BO970" t="s">
        <v>74</v>
      </c>
      <c r="BP970" t="s">
        <v>74</v>
      </c>
      <c r="BQ970" t="s">
        <v>74</v>
      </c>
      <c r="BR970" t="s">
        <v>99</v>
      </c>
      <c r="BS970" t="s">
        <v>13744</v>
      </c>
      <c r="BT970" t="str">
        <f>HYPERLINK("https%3A%2F%2Fwww.webofscience.com%2Fwos%2Fwoscc%2Ffull-record%2FWOS:000186091300003","View Full Record in Web of Science")</f>
        <v>View Full Record in Web of Science</v>
      </c>
    </row>
    <row r="971" spans="1:72" x14ac:dyDescent="0.15">
      <c r="A971" t="s">
        <v>72</v>
      </c>
      <c r="B971" t="s">
        <v>13745</v>
      </c>
      <c r="C971" t="s">
        <v>74</v>
      </c>
      <c r="D971" t="s">
        <v>74</v>
      </c>
      <c r="E971" t="s">
        <v>74</v>
      </c>
      <c r="F971" t="s">
        <v>13745</v>
      </c>
      <c r="G971" t="s">
        <v>74</v>
      </c>
      <c r="H971" t="s">
        <v>74</v>
      </c>
      <c r="I971" t="s">
        <v>13746</v>
      </c>
      <c r="J971" t="s">
        <v>545</v>
      </c>
      <c r="K971" t="s">
        <v>74</v>
      </c>
      <c r="L971" t="s">
        <v>74</v>
      </c>
      <c r="M971" t="s">
        <v>77</v>
      </c>
      <c r="N971" t="s">
        <v>78</v>
      </c>
      <c r="O971" t="s">
        <v>74</v>
      </c>
      <c r="P971" t="s">
        <v>74</v>
      </c>
      <c r="Q971" t="s">
        <v>74</v>
      </c>
      <c r="R971" t="s">
        <v>74</v>
      </c>
      <c r="S971" t="s">
        <v>74</v>
      </c>
      <c r="T971" t="s">
        <v>74</v>
      </c>
      <c r="U971" t="s">
        <v>74</v>
      </c>
      <c r="V971" t="s">
        <v>13747</v>
      </c>
      <c r="W971" t="s">
        <v>13748</v>
      </c>
      <c r="X971" t="s">
        <v>13749</v>
      </c>
      <c r="Y971" t="s">
        <v>13750</v>
      </c>
      <c r="Z971" t="s">
        <v>13751</v>
      </c>
      <c r="AA971" t="s">
        <v>13752</v>
      </c>
      <c r="AB971" t="s">
        <v>13753</v>
      </c>
      <c r="AC971" t="s">
        <v>74</v>
      </c>
      <c r="AD971" t="s">
        <v>74</v>
      </c>
      <c r="AE971" t="s">
        <v>74</v>
      </c>
      <c r="AF971" t="s">
        <v>74</v>
      </c>
      <c r="AG971">
        <v>14</v>
      </c>
      <c r="AH971">
        <v>22</v>
      </c>
      <c r="AI971">
        <v>24</v>
      </c>
      <c r="AJ971">
        <v>2</v>
      </c>
      <c r="AK971">
        <v>12</v>
      </c>
      <c r="AL971" t="s">
        <v>363</v>
      </c>
      <c r="AM971" t="s">
        <v>364</v>
      </c>
      <c r="AN971" t="s">
        <v>365</v>
      </c>
      <c r="AO971" t="s">
        <v>553</v>
      </c>
      <c r="AP971" t="s">
        <v>554</v>
      </c>
      <c r="AQ971" t="s">
        <v>74</v>
      </c>
      <c r="AR971" t="s">
        <v>555</v>
      </c>
      <c r="AS971" t="s">
        <v>556</v>
      </c>
      <c r="AT971" t="s">
        <v>13754</v>
      </c>
      <c r="AU971">
        <v>2003</v>
      </c>
      <c r="AV971">
        <v>30</v>
      </c>
      <c r="AW971">
        <v>19</v>
      </c>
      <c r="AX971" t="s">
        <v>74</v>
      </c>
      <c r="AY971" t="s">
        <v>74</v>
      </c>
      <c r="AZ971" t="s">
        <v>74</v>
      </c>
      <c r="BA971" t="s">
        <v>74</v>
      </c>
      <c r="BB971" t="s">
        <v>74</v>
      </c>
      <c r="BC971" t="s">
        <v>74</v>
      </c>
      <c r="BD971">
        <v>2005</v>
      </c>
      <c r="BE971" t="s">
        <v>13755</v>
      </c>
      <c r="BF971" t="str">
        <f>HYPERLINK("http://dx.doi.org/10.1029/2003GL017957","http://dx.doi.org/10.1029/2003GL017957")</f>
        <v>http://dx.doi.org/10.1029/2003GL017957</v>
      </c>
      <c r="BG971" t="s">
        <v>74</v>
      </c>
      <c r="BH971" t="s">
        <v>74</v>
      </c>
      <c r="BI971">
        <v>5</v>
      </c>
      <c r="BJ971" t="s">
        <v>560</v>
      </c>
      <c r="BK971" t="s">
        <v>96</v>
      </c>
      <c r="BL971" t="s">
        <v>561</v>
      </c>
      <c r="BM971" t="s">
        <v>13756</v>
      </c>
      <c r="BN971" t="s">
        <v>74</v>
      </c>
      <c r="BO971" t="s">
        <v>74</v>
      </c>
      <c r="BP971" t="s">
        <v>74</v>
      </c>
      <c r="BQ971" t="s">
        <v>74</v>
      </c>
      <c r="BR971" t="s">
        <v>99</v>
      </c>
      <c r="BS971" t="s">
        <v>13757</v>
      </c>
      <c r="BT971" t="str">
        <f>HYPERLINK("https%3A%2F%2Fwww.webofscience.com%2Fwos%2Fwoscc%2Ffull-record%2FWOS:000185926900002","View Full Record in Web of Science")</f>
        <v>View Full Record in Web of Science</v>
      </c>
    </row>
    <row r="972" spans="1:72" x14ac:dyDescent="0.15">
      <c r="A972" t="s">
        <v>72</v>
      </c>
      <c r="B972" t="s">
        <v>13758</v>
      </c>
      <c r="C972" t="s">
        <v>74</v>
      </c>
      <c r="D972" t="s">
        <v>74</v>
      </c>
      <c r="E972" t="s">
        <v>74</v>
      </c>
      <c r="F972" t="s">
        <v>13758</v>
      </c>
      <c r="G972" t="s">
        <v>74</v>
      </c>
      <c r="H972" t="s">
        <v>74</v>
      </c>
      <c r="I972" t="s">
        <v>13759</v>
      </c>
      <c r="J972" t="s">
        <v>460</v>
      </c>
      <c r="K972" t="s">
        <v>74</v>
      </c>
      <c r="L972" t="s">
        <v>74</v>
      </c>
      <c r="M972" t="s">
        <v>77</v>
      </c>
      <c r="N972" t="s">
        <v>78</v>
      </c>
      <c r="O972" t="s">
        <v>74</v>
      </c>
      <c r="P972" t="s">
        <v>74</v>
      </c>
      <c r="Q972" t="s">
        <v>74</v>
      </c>
      <c r="R972" t="s">
        <v>74</v>
      </c>
      <c r="S972" t="s">
        <v>74</v>
      </c>
      <c r="T972" t="s">
        <v>13760</v>
      </c>
      <c r="U972" t="s">
        <v>13761</v>
      </c>
      <c r="V972" t="s">
        <v>13762</v>
      </c>
      <c r="W972" t="s">
        <v>13763</v>
      </c>
      <c r="X972" t="s">
        <v>13764</v>
      </c>
      <c r="Y972" t="s">
        <v>13765</v>
      </c>
      <c r="Z972" t="s">
        <v>13766</v>
      </c>
      <c r="AA972" t="s">
        <v>74</v>
      </c>
      <c r="AB972" t="s">
        <v>13767</v>
      </c>
      <c r="AC972" t="s">
        <v>74</v>
      </c>
      <c r="AD972" t="s">
        <v>74</v>
      </c>
      <c r="AE972" t="s">
        <v>74</v>
      </c>
      <c r="AF972" t="s">
        <v>74</v>
      </c>
      <c r="AG972">
        <v>93</v>
      </c>
      <c r="AH972">
        <v>50</v>
      </c>
      <c r="AI972">
        <v>60</v>
      </c>
      <c r="AJ972">
        <v>0</v>
      </c>
      <c r="AK972">
        <v>27</v>
      </c>
      <c r="AL972" t="s">
        <v>363</v>
      </c>
      <c r="AM972" t="s">
        <v>364</v>
      </c>
      <c r="AN972" t="s">
        <v>365</v>
      </c>
      <c r="AO972" t="s">
        <v>470</v>
      </c>
      <c r="AP972" t="s">
        <v>471</v>
      </c>
      <c r="AQ972" t="s">
        <v>74</v>
      </c>
      <c r="AR972" t="s">
        <v>472</v>
      </c>
      <c r="AS972" t="s">
        <v>473</v>
      </c>
      <c r="AT972" t="s">
        <v>13768</v>
      </c>
      <c r="AU972">
        <v>2003</v>
      </c>
      <c r="AV972">
        <v>108</v>
      </c>
      <c r="AW972" t="s">
        <v>13608</v>
      </c>
      <c r="AX972" t="s">
        <v>74</v>
      </c>
      <c r="AY972" t="s">
        <v>74</v>
      </c>
      <c r="AZ972" t="s">
        <v>74</v>
      </c>
      <c r="BA972" t="s">
        <v>74</v>
      </c>
      <c r="BB972" t="s">
        <v>74</v>
      </c>
      <c r="BC972" t="s">
        <v>74</v>
      </c>
      <c r="BD972">
        <v>3316</v>
      </c>
      <c r="BE972" t="s">
        <v>13769</v>
      </c>
      <c r="BF972" t="str">
        <f>HYPERLINK("http://dx.doi.org/10.1029/2001JC001138","http://dx.doi.org/10.1029/2001JC001138")</f>
        <v>http://dx.doi.org/10.1029/2001JC001138</v>
      </c>
      <c r="BG972" t="s">
        <v>74</v>
      </c>
      <c r="BH972" t="s">
        <v>74</v>
      </c>
      <c r="BI972">
        <v>23</v>
      </c>
      <c r="BJ972" t="s">
        <v>477</v>
      </c>
      <c r="BK972" t="s">
        <v>96</v>
      </c>
      <c r="BL972" t="s">
        <v>477</v>
      </c>
      <c r="BM972" t="s">
        <v>13770</v>
      </c>
      <c r="BN972" t="s">
        <v>74</v>
      </c>
      <c r="BO972" t="s">
        <v>479</v>
      </c>
      <c r="BP972" t="s">
        <v>74</v>
      </c>
      <c r="BQ972" t="s">
        <v>74</v>
      </c>
      <c r="BR972" t="s">
        <v>99</v>
      </c>
      <c r="BS972" t="s">
        <v>13771</v>
      </c>
      <c r="BT972" t="str">
        <f>HYPERLINK("https%3A%2F%2Fwww.webofscience.com%2Fwos%2Fwoscc%2Ffull-record%2FWOS:000185930500001","View Full Record in Web of Science")</f>
        <v>View Full Record in Web of Science</v>
      </c>
    </row>
    <row r="973" spans="1:72" x14ac:dyDescent="0.15">
      <c r="A973" t="s">
        <v>72</v>
      </c>
      <c r="B973" t="s">
        <v>13772</v>
      </c>
      <c r="C973" t="s">
        <v>74</v>
      </c>
      <c r="D973" t="s">
        <v>74</v>
      </c>
      <c r="E973" t="s">
        <v>74</v>
      </c>
      <c r="F973" t="s">
        <v>13772</v>
      </c>
      <c r="G973" t="s">
        <v>74</v>
      </c>
      <c r="H973" t="s">
        <v>74</v>
      </c>
      <c r="I973" t="s">
        <v>13773</v>
      </c>
      <c r="J973" t="s">
        <v>460</v>
      </c>
      <c r="K973" t="s">
        <v>74</v>
      </c>
      <c r="L973" t="s">
        <v>74</v>
      </c>
      <c r="M973" t="s">
        <v>77</v>
      </c>
      <c r="N973" t="s">
        <v>78</v>
      </c>
      <c r="O973" t="s">
        <v>74</v>
      </c>
      <c r="P973" t="s">
        <v>74</v>
      </c>
      <c r="Q973" t="s">
        <v>74</v>
      </c>
      <c r="R973" t="s">
        <v>74</v>
      </c>
      <c r="S973" t="s">
        <v>74</v>
      </c>
      <c r="T973" t="s">
        <v>13774</v>
      </c>
      <c r="U973" t="s">
        <v>13775</v>
      </c>
      <c r="V973" t="s">
        <v>13776</v>
      </c>
      <c r="W973" t="s">
        <v>13777</v>
      </c>
      <c r="X973" t="s">
        <v>13778</v>
      </c>
      <c r="Y973" t="s">
        <v>13779</v>
      </c>
      <c r="Z973" t="s">
        <v>13780</v>
      </c>
      <c r="AA973" t="s">
        <v>74</v>
      </c>
      <c r="AB973" t="s">
        <v>74</v>
      </c>
      <c r="AC973" t="s">
        <v>74</v>
      </c>
      <c r="AD973" t="s">
        <v>74</v>
      </c>
      <c r="AE973" t="s">
        <v>74</v>
      </c>
      <c r="AF973" t="s">
        <v>74</v>
      </c>
      <c r="AG973">
        <v>50</v>
      </c>
      <c r="AH973">
        <v>6</v>
      </c>
      <c r="AI973">
        <v>6</v>
      </c>
      <c r="AJ973">
        <v>0</v>
      </c>
      <c r="AK973">
        <v>2</v>
      </c>
      <c r="AL973" t="s">
        <v>363</v>
      </c>
      <c r="AM973" t="s">
        <v>364</v>
      </c>
      <c r="AN973" t="s">
        <v>365</v>
      </c>
      <c r="AO973" t="s">
        <v>470</v>
      </c>
      <c r="AP973" t="s">
        <v>471</v>
      </c>
      <c r="AQ973" t="s">
        <v>74</v>
      </c>
      <c r="AR973" t="s">
        <v>472</v>
      </c>
      <c r="AS973" t="s">
        <v>473</v>
      </c>
      <c r="AT973" t="s">
        <v>13768</v>
      </c>
      <c r="AU973">
        <v>2003</v>
      </c>
      <c r="AV973">
        <v>108</v>
      </c>
      <c r="AW973" t="s">
        <v>13608</v>
      </c>
      <c r="AX973" t="s">
        <v>74</v>
      </c>
      <c r="AY973" t="s">
        <v>74</v>
      </c>
      <c r="AZ973" t="s">
        <v>74</v>
      </c>
      <c r="BA973" t="s">
        <v>74</v>
      </c>
      <c r="BB973" t="s">
        <v>74</v>
      </c>
      <c r="BC973" t="s">
        <v>74</v>
      </c>
      <c r="BD973">
        <v>3318</v>
      </c>
      <c r="BE973" t="s">
        <v>13781</v>
      </c>
      <c r="BF973" t="str">
        <f>HYPERLINK("http://dx.doi.org/10.1029/2002JC001765","http://dx.doi.org/10.1029/2002JC001765")</f>
        <v>http://dx.doi.org/10.1029/2002JC001765</v>
      </c>
      <c r="BG973" t="s">
        <v>74</v>
      </c>
      <c r="BH973" t="s">
        <v>74</v>
      </c>
      <c r="BI973">
        <v>19</v>
      </c>
      <c r="BJ973" t="s">
        <v>477</v>
      </c>
      <c r="BK973" t="s">
        <v>96</v>
      </c>
      <c r="BL973" t="s">
        <v>477</v>
      </c>
      <c r="BM973" t="s">
        <v>13770</v>
      </c>
      <c r="BN973" t="s">
        <v>74</v>
      </c>
      <c r="BO973" t="s">
        <v>541</v>
      </c>
      <c r="BP973" t="s">
        <v>74</v>
      </c>
      <c r="BQ973" t="s">
        <v>74</v>
      </c>
      <c r="BR973" t="s">
        <v>99</v>
      </c>
      <c r="BS973" t="s">
        <v>13782</v>
      </c>
      <c r="BT973" t="str">
        <f>HYPERLINK("https%3A%2F%2Fwww.webofscience.com%2Fwos%2Fwoscc%2Ffull-record%2FWOS:000185930500003","View Full Record in Web of Science")</f>
        <v>View Full Record in Web of Science</v>
      </c>
    </row>
    <row r="974" spans="1:72" x14ac:dyDescent="0.15">
      <c r="A974" t="s">
        <v>72</v>
      </c>
      <c r="B974" t="s">
        <v>13783</v>
      </c>
      <c r="C974" t="s">
        <v>74</v>
      </c>
      <c r="D974" t="s">
        <v>74</v>
      </c>
      <c r="E974" t="s">
        <v>74</v>
      </c>
      <c r="F974" t="s">
        <v>13783</v>
      </c>
      <c r="G974" t="s">
        <v>74</v>
      </c>
      <c r="H974" t="s">
        <v>74</v>
      </c>
      <c r="I974" t="s">
        <v>13784</v>
      </c>
      <c r="J974" t="s">
        <v>10794</v>
      </c>
      <c r="K974" t="s">
        <v>74</v>
      </c>
      <c r="L974" t="s">
        <v>74</v>
      </c>
      <c r="M974" t="s">
        <v>77</v>
      </c>
      <c r="N974" t="s">
        <v>78</v>
      </c>
      <c r="O974" t="s">
        <v>74</v>
      </c>
      <c r="P974" t="s">
        <v>74</v>
      </c>
      <c r="Q974" t="s">
        <v>74</v>
      </c>
      <c r="R974" t="s">
        <v>74</v>
      </c>
      <c r="S974" t="s">
        <v>74</v>
      </c>
      <c r="T974" t="s">
        <v>13785</v>
      </c>
      <c r="U974" t="s">
        <v>13786</v>
      </c>
      <c r="V974" t="s">
        <v>13787</v>
      </c>
      <c r="W974" t="s">
        <v>13788</v>
      </c>
      <c r="X974" t="s">
        <v>13789</v>
      </c>
      <c r="Y974" t="s">
        <v>13790</v>
      </c>
      <c r="Z974" t="s">
        <v>13791</v>
      </c>
      <c r="AA974" t="s">
        <v>13792</v>
      </c>
      <c r="AB974" t="s">
        <v>13793</v>
      </c>
      <c r="AC974" t="s">
        <v>74</v>
      </c>
      <c r="AD974" t="s">
        <v>74</v>
      </c>
      <c r="AE974" t="s">
        <v>74</v>
      </c>
      <c r="AF974" t="s">
        <v>74</v>
      </c>
      <c r="AG974">
        <v>50</v>
      </c>
      <c r="AH974">
        <v>68</v>
      </c>
      <c r="AI974">
        <v>69</v>
      </c>
      <c r="AJ974">
        <v>0</v>
      </c>
      <c r="AK974">
        <v>7</v>
      </c>
      <c r="AL974" t="s">
        <v>363</v>
      </c>
      <c r="AM974" t="s">
        <v>364</v>
      </c>
      <c r="AN974" t="s">
        <v>365</v>
      </c>
      <c r="AO974" t="s">
        <v>10804</v>
      </c>
      <c r="AP974" t="s">
        <v>10805</v>
      </c>
      <c r="AQ974" t="s">
        <v>74</v>
      </c>
      <c r="AR974" t="s">
        <v>10806</v>
      </c>
      <c r="AS974" t="s">
        <v>10807</v>
      </c>
      <c r="AT974" t="s">
        <v>13794</v>
      </c>
      <c r="AU974">
        <v>2003</v>
      </c>
      <c r="AV974">
        <v>108</v>
      </c>
      <c r="AW974" t="s">
        <v>13536</v>
      </c>
      <c r="AX974" t="s">
        <v>74</v>
      </c>
      <c r="AY974" t="s">
        <v>74</v>
      </c>
      <c r="AZ974" t="s">
        <v>74</v>
      </c>
      <c r="BA974" t="s">
        <v>74</v>
      </c>
      <c r="BB974" t="s">
        <v>74</v>
      </c>
      <c r="BC974" t="s">
        <v>74</v>
      </c>
      <c r="BD974">
        <v>2461</v>
      </c>
      <c r="BE974" t="s">
        <v>13795</v>
      </c>
      <c r="BF974" t="str">
        <f>HYPERLINK("http://dx.doi.org/10.1029/2003JB002416","http://dx.doi.org/10.1029/2003JB002416")</f>
        <v>http://dx.doi.org/10.1029/2003JB002416</v>
      </c>
      <c r="BG974" t="s">
        <v>74</v>
      </c>
      <c r="BH974" t="s">
        <v>74</v>
      </c>
      <c r="BI974">
        <v>12</v>
      </c>
      <c r="BJ974" t="s">
        <v>262</v>
      </c>
      <c r="BK974" t="s">
        <v>96</v>
      </c>
      <c r="BL974" t="s">
        <v>262</v>
      </c>
      <c r="BM974" t="s">
        <v>13796</v>
      </c>
      <c r="BN974" t="s">
        <v>74</v>
      </c>
      <c r="BO974" t="s">
        <v>541</v>
      </c>
      <c r="BP974" t="s">
        <v>74</v>
      </c>
      <c r="BQ974" t="s">
        <v>74</v>
      </c>
      <c r="BR974" t="s">
        <v>99</v>
      </c>
      <c r="BS974" t="s">
        <v>13797</v>
      </c>
      <c r="BT974" t="str">
        <f>HYPERLINK("https%3A%2F%2Fwww.webofscience.com%2Fwos%2Fwoscc%2Ffull-record%2FWOS:000185930800007","View Full Record in Web of Science")</f>
        <v>View Full Record in Web of Science</v>
      </c>
    </row>
    <row r="975" spans="1:72" x14ac:dyDescent="0.15">
      <c r="A975" t="s">
        <v>72</v>
      </c>
      <c r="B975" t="s">
        <v>13798</v>
      </c>
      <c r="C975" t="s">
        <v>74</v>
      </c>
      <c r="D975" t="s">
        <v>74</v>
      </c>
      <c r="E975" t="s">
        <v>74</v>
      </c>
      <c r="F975" t="s">
        <v>13798</v>
      </c>
      <c r="G975" t="s">
        <v>74</v>
      </c>
      <c r="H975" t="s">
        <v>74</v>
      </c>
      <c r="I975" t="s">
        <v>13799</v>
      </c>
      <c r="J975" t="s">
        <v>2496</v>
      </c>
      <c r="K975" t="s">
        <v>74</v>
      </c>
      <c r="L975" t="s">
        <v>74</v>
      </c>
      <c r="M975" t="s">
        <v>77</v>
      </c>
      <c r="N975" t="s">
        <v>78</v>
      </c>
      <c r="O975" t="s">
        <v>74</v>
      </c>
      <c r="P975" t="s">
        <v>74</v>
      </c>
      <c r="Q975" t="s">
        <v>74</v>
      </c>
      <c r="R975" t="s">
        <v>74</v>
      </c>
      <c r="S975" t="s">
        <v>74</v>
      </c>
      <c r="T975" t="s">
        <v>13800</v>
      </c>
      <c r="U975" t="s">
        <v>13801</v>
      </c>
      <c r="V975" t="s">
        <v>13802</v>
      </c>
      <c r="W975" t="s">
        <v>13803</v>
      </c>
      <c r="X975" t="s">
        <v>10035</v>
      </c>
      <c r="Y975" t="s">
        <v>13804</v>
      </c>
      <c r="Z975" t="s">
        <v>13805</v>
      </c>
      <c r="AA975" t="s">
        <v>13806</v>
      </c>
      <c r="AB975" t="s">
        <v>13807</v>
      </c>
      <c r="AC975" t="s">
        <v>74</v>
      </c>
      <c r="AD975" t="s">
        <v>74</v>
      </c>
      <c r="AE975" t="s">
        <v>74</v>
      </c>
      <c r="AF975" t="s">
        <v>74</v>
      </c>
      <c r="AG975">
        <v>44</v>
      </c>
      <c r="AH975">
        <v>15</v>
      </c>
      <c r="AI975">
        <v>16</v>
      </c>
      <c r="AJ975">
        <v>1</v>
      </c>
      <c r="AK975">
        <v>18</v>
      </c>
      <c r="AL975" t="s">
        <v>2502</v>
      </c>
      <c r="AM975" t="s">
        <v>1417</v>
      </c>
      <c r="AN975" t="s">
        <v>2503</v>
      </c>
      <c r="AO975" t="s">
        <v>2504</v>
      </c>
      <c r="AP975" t="s">
        <v>74</v>
      </c>
      <c r="AQ975" t="s">
        <v>74</v>
      </c>
      <c r="AR975" t="s">
        <v>2505</v>
      </c>
      <c r="AS975" t="s">
        <v>2506</v>
      </c>
      <c r="AT975" t="s">
        <v>13808</v>
      </c>
      <c r="AU975">
        <v>2003</v>
      </c>
      <c r="AV975">
        <v>270</v>
      </c>
      <c r="AW975">
        <v>1528</v>
      </c>
      <c r="AX975" t="s">
        <v>74</v>
      </c>
      <c r="AY975" t="s">
        <v>74</v>
      </c>
      <c r="AZ975" t="s">
        <v>74</v>
      </c>
      <c r="BA975" t="s">
        <v>74</v>
      </c>
      <c r="BB975">
        <v>2033</v>
      </c>
      <c r="BC975">
        <v>2037</v>
      </c>
      <c r="BD975" t="s">
        <v>74</v>
      </c>
      <c r="BE975" t="s">
        <v>13809</v>
      </c>
      <c r="BF975" t="str">
        <f>HYPERLINK("http://dx.doi.org/10.1098/rspb.2003.2467","http://dx.doi.org/10.1098/rspb.2003.2467")</f>
        <v>http://dx.doi.org/10.1098/rspb.2003.2467</v>
      </c>
      <c r="BG975" t="s">
        <v>74</v>
      </c>
      <c r="BH975" t="s">
        <v>74</v>
      </c>
      <c r="BI975">
        <v>5</v>
      </c>
      <c r="BJ975" t="s">
        <v>2511</v>
      </c>
      <c r="BK975" t="s">
        <v>96</v>
      </c>
      <c r="BL975" t="s">
        <v>2512</v>
      </c>
      <c r="BM975" t="s">
        <v>13810</v>
      </c>
      <c r="BN975">
        <v>14561291</v>
      </c>
      <c r="BO975" t="s">
        <v>479</v>
      </c>
      <c r="BP975" t="s">
        <v>74</v>
      </c>
      <c r="BQ975" t="s">
        <v>74</v>
      </c>
      <c r="BR975" t="s">
        <v>99</v>
      </c>
      <c r="BS975" t="s">
        <v>13811</v>
      </c>
      <c r="BT975" t="str">
        <f>HYPERLINK("https%3A%2F%2Fwww.webofscience.com%2Fwos%2Fwoscc%2Ffull-record%2FWOS:000185739600007","View Full Record in Web of Science")</f>
        <v>View Full Record in Web of Science</v>
      </c>
    </row>
    <row r="976" spans="1:72" x14ac:dyDescent="0.15">
      <c r="A976" t="s">
        <v>72</v>
      </c>
      <c r="B976" t="s">
        <v>13812</v>
      </c>
      <c r="C976" t="s">
        <v>74</v>
      </c>
      <c r="D976" t="s">
        <v>74</v>
      </c>
      <c r="E976" t="s">
        <v>74</v>
      </c>
      <c r="F976" t="s">
        <v>13812</v>
      </c>
      <c r="G976" t="s">
        <v>74</v>
      </c>
      <c r="H976" t="s">
        <v>74</v>
      </c>
      <c r="I976" t="s">
        <v>13813</v>
      </c>
      <c r="J976" t="s">
        <v>545</v>
      </c>
      <c r="K976" t="s">
        <v>74</v>
      </c>
      <c r="L976" t="s">
        <v>74</v>
      </c>
      <c r="M976" t="s">
        <v>77</v>
      </c>
      <c r="N976" t="s">
        <v>78</v>
      </c>
      <c r="O976" t="s">
        <v>74</v>
      </c>
      <c r="P976" t="s">
        <v>74</v>
      </c>
      <c r="Q976" t="s">
        <v>74</v>
      </c>
      <c r="R976" t="s">
        <v>74</v>
      </c>
      <c r="S976" t="s">
        <v>74</v>
      </c>
      <c r="T976" t="s">
        <v>74</v>
      </c>
      <c r="U976" t="s">
        <v>13814</v>
      </c>
      <c r="V976" t="s">
        <v>13815</v>
      </c>
      <c r="W976" t="s">
        <v>13816</v>
      </c>
      <c r="X976" t="s">
        <v>13817</v>
      </c>
      <c r="Y976" t="s">
        <v>13818</v>
      </c>
      <c r="Z976" t="s">
        <v>74</v>
      </c>
      <c r="AA976" t="s">
        <v>74</v>
      </c>
      <c r="AB976" t="s">
        <v>13819</v>
      </c>
      <c r="AC976" t="s">
        <v>74</v>
      </c>
      <c r="AD976" t="s">
        <v>74</v>
      </c>
      <c r="AE976" t="s">
        <v>74</v>
      </c>
      <c r="AF976" t="s">
        <v>74</v>
      </c>
      <c r="AG976">
        <v>15</v>
      </c>
      <c r="AH976">
        <v>8</v>
      </c>
      <c r="AI976">
        <v>8</v>
      </c>
      <c r="AJ976">
        <v>0</v>
      </c>
      <c r="AK976">
        <v>0</v>
      </c>
      <c r="AL976" t="s">
        <v>363</v>
      </c>
      <c r="AM976" t="s">
        <v>364</v>
      </c>
      <c r="AN976" t="s">
        <v>365</v>
      </c>
      <c r="AO976" t="s">
        <v>553</v>
      </c>
      <c r="AP976" t="s">
        <v>74</v>
      </c>
      <c r="AQ976" t="s">
        <v>74</v>
      </c>
      <c r="AR976" t="s">
        <v>555</v>
      </c>
      <c r="AS976" t="s">
        <v>556</v>
      </c>
      <c r="AT976" t="s">
        <v>13820</v>
      </c>
      <c r="AU976">
        <v>2003</v>
      </c>
      <c r="AV976">
        <v>30</v>
      </c>
      <c r="AW976">
        <v>19</v>
      </c>
      <c r="AX976" t="s">
        <v>74</v>
      </c>
      <c r="AY976" t="s">
        <v>74</v>
      </c>
      <c r="AZ976" t="s">
        <v>74</v>
      </c>
      <c r="BA976" t="s">
        <v>74</v>
      </c>
      <c r="BB976" t="s">
        <v>74</v>
      </c>
      <c r="BC976" t="s">
        <v>74</v>
      </c>
      <c r="BD976">
        <v>1979</v>
      </c>
      <c r="BE976" t="s">
        <v>13821</v>
      </c>
      <c r="BF976" t="str">
        <f>HYPERLINK("http://dx.doi.org/10.1029/2003GL017885","http://dx.doi.org/10.1029/2003GL017885")</f>
        <v>http://dx.doi.org/10.1029/2003GL017885</v>
      </c>
      <c r="BG976" t="s">
        <v>74</v>
      </c>
      <c r="BH976" t="s">
        <v>74</v>
      </c>
      <c r="BI976">
        <v>4</v>
      </c>
      <c r="BJ976" t="s">
        <v>560</v>
      </c>
      <c r="BK976" t="s">
        <v>96</v>
      </c>
      <c r="BL976" t="s">
        <v>561</v>
      </c>
      <c r="BM976" t="s">
        <v>13822</v>
      </c>
      <c r="BN976" t="s">
        <v>74</v>
      </c>
      <c r="BO976" t="s">
        <v>541</v>
      </c>
      <c r="BP976" t="s">
        <v>74</v>
      </c>
      <c r="BQ976" t="s">
        <v>74</v>
      </c>
      <c r="BR976" t="s">
        <v>99</v>
      </c>
      <c r="BS976" t="s">
        <v>13823</v>
      </c>
      <c r="BT976" t="str">
        <f>HYPERLINK("https%3A%2F%2Fwww.webofscience.com%2Fwos%2Fwoscc%2Ffull-record%2FWOS:000185888700002","View Full Record in Web of Science")</f>
        <v>View Full Record in Web of Science</v>
      </c>
    </row>
    <row r="977" spans="1:72" x14ac:dyDescent="0.15">
      <c r="A977" t="s">
        <v>72</v>
      </c>
      <c r="B977" t="s">
        <v>13824</v>
      </c>
      <c r="C977" t="s">
        <v>74</v>
      </c>
      <c r="D977" t="s">
        <v>74</v>
      </c>
      <c r="E977" t="s">
        <v>74</v>
      </c>
      <c r="F977" t="s">
        <v>13824</v>
      </c>
      <c r="G977" t="s">
        <v>74</v>
      </c>
      <c r="H977" t="s">
        <v>74</v>
      </c>
      <c r="I977" t="s">
        <v>13825</v>
      </c>
      <c r="J977" t="s">
        <v>13826</v>
      </c>
      <c r="K977" t="s">
        <v>74</v>
      </c>
      <c r="L977" t="s">
        <v>74</v>
      </c>
      <c r="M977" t="s">
        <v>77</v>
      </c>
      <c r="N977" t="s">
        <v>78</v>
      </c>
      <c r="O977" t="s">
        <v>74</v>
      </c>
      <c r="P977" t="s">
        <v>74</v>
      </c>
      <c r="Q977" t="s">
        <v>74</v>
      </c>
      <c r="R977" t="s">
        <v>74</v>
      </c>
      <c r="S977" t="s">
        <v>74</v>
      </c>
      <c r="T977" t="s">
        <v>74</v>
      </c>
      <c r="U977" t="s">
        <v>13827</v>
      </c>
      <c r="V977" t="s">
        <v>13828</v>
      </c>
      <c r="W977" t="s">
        <v>13829</v>
      </c>
      <c r="X977" t="s">
        <v>2680</v>
      </c>
      <c r="Y977" t="s">
        <v>13830</v>
      </c>
      <c r="Z977" t="s">
        <v>74</v>
      </c>
      <c r="AA977" t="s">
        <v>74</v>
      </c>
      <c r="AB977" t="s">
        <v>74</v>
      </c>
      <c r="AC977" t="s">
        <v>74</v>
      </c>
      <c r="AD977" t="s">
        <v>74</v>
      </c>
      <c r="AE977" t="s">
        <v>74</v>
      </c>
      <c r="AF977" t="s">
        <v>74</v>
      </c>
      <c r="AG977">
        <v>36</v>
      </c>
      <c r="AH977">
        <v>41</v>
      </c>
      <c r="AI977">
        <v>58</v>
      </c>
      <c r="AJ977">
        <v>0</v>
      </c>
      <c r="AK977">
        <v>22</v>
      </c>
      <c r="AL977" t="s">
        <v>13831</v>
      </c>
      <c r="AM977" t="s">
        <v>490</v>
      </c>
      <c r="AN977" t="s">
        <v>13832</v>
      </c>
      <c r="AO977" t="s">
        <v>13833</v>
      </c>
      <c r="AP977" t="s">
        <v>74</v>
      </c>
      <c r="AQ977" t="s">
        <v>74</v>
      </c>
      <c r="AR977" t="s">
        <v>13834</v>
      </c>
      <c r="AS977" t="s">
        <v>13835</v>
      </c>
      <c r="AT977" t="s">
        <v>13836</v>
      </c>
      <c r="AU977">
        <v>2003</v>
      </c>
      <c r="AV977">
        <v>278</v>
      </c>
      <c r="AW977">
        <v>40</v>
      </c>
      <c r="AX977" t="s">
        <v>74</v>
      </c>
      <c r="AY977" t="s">
        <v>74</v>
      </c>
      <c r="AZ977" t="s">
        <v>74</v>
      </c>
      <c r="BA977" t="s">
        <v>74</v>
      </c>
      <c r="BB977">
        <v>38942</v>
      </c>
      <c r="BC977">
        <v>38947</v>
      </c>
      <c r="BD977" t="s">
        <v>74</v>
      </c>
      <c r="BE977" t="s">
        <v>13837</v>
      </c>
      <c r="BF977" t="str">
        <f>HYPERLINK("http://dx.doi.org/10.1074/jbc.M306776200","http://dx.doi.org/10.1074/jbc.M306776200")</f>
        <v>http://dx.doi.org/10.1074/jbc.M306776200</v>
      </c>
      <c r="BG977" t="s">
        <v>74</v>
      </c>
      <c r="BH977" t="s">
        <v>74</v>
      </c>
      <c r="BI977">
        <v>6</v>
      </c>
      <c r="BJ977" t="s">
        <v>10211</v>
      </c>
      <c r="BK977" t="s">
        <v>96</v>
      </c>
      <c r="BL977" t="s">
        <v>10211</v>
      </c>
      <c r="BM977" t="s">
        <v>13838</v>
      </c>
      <c r="BN977">
        <v>12869550</v>
      </c>
      <c r="BO977" t="s">
        <v>306</v>
      </c>
      <c r="BP977" t="s">
        <v>74</v>
      </c>
      <c r="BQ977" t="s">
        <v>74</v>
      </c>
      <c r="BR977" t="s">
        <v>99</v>
      </c>
      <c r="BS977" t="s">
        <v>13839</v>
      </c>
      <c r="BT977" t="str">
        <f>HYPERLINK("https%3A%2F%2Fwww.webofscience.com%2Fwos%2Fwoscc%2Ffull-record%2FWOS:000185575100104","View Full Record in Web of Science")</f>
        <v>View Full Record in Web of Science</v>
      </c>
    </row>
    <row r="978" spans="1:72" x14ac:dyDescent="0.15">
      <c r="A978" t="s">
        <v>72</v>
      </c>
      <c r="B978" t="s">
        <v>13840</v>
      </c>
      <c r="C978" t="s">
        <v>74</v>
      </c>
      <c r="D978" t="s">
        <v>74</v>
      </c>
      <c r="E978" t="s">
        <v>74</v>
      </c>
      <c r="F978" t="s">
        <v>13840</v>
      </c>
      <c r="G978" t="s">
        <v>74</v>
      </c>
      <c r="H978" t="s">
        <v>74</v>
      </c>
      <c r="I978" t="s">
        <v>13841</v>
      </c>
      <c r="J978" t="s">
        <v>13842</v>
      </c>
      <c r="K978" t="s">
        <v>74</v>
      </c>
      <c r="L978" t="s">
        <v>74</v>
      </c>
      <c r="M978" t="s">
        <v>77</v>
      </c>
      <c r="N978" t="s">
        <v>78</v>
      </c>
      <c r="O978" t="s">
        <v>74</v>
      </c>
      <c r="P978" t="s">
        <v>74</v>
      </c>
      <c r="Q978" t="s">
        <v>74</v>
      </c>
      <c r="R978" t="s">
        <v>74</v>
      </c>
      <c r="S978" t="s">
        <v>74</v>
      </c>
      <c r="T978" t="s">
        <v>13843</v>
      </c>
      <c r="U978" t="s">
        <v>13844</v>
      </c>
      <c r="V978" t="s">
        <v>13845</v>
      </c>
      <c r="W978" t="s">
        <v>13846</v>
      </c>
      <c r="X978" t="s">
        <v>6397</v>
      </c>
      <c r="Y978" t="s">
        <v>13847</v>
      </c>
      <c r="Z978" t="s">
        <v>13848</v>
      </c>
      <c r="AA978" t="s">
        <v>74</v>
      </c>
      <c r="AB978" t="s">
        <v>74</v>
      </c>
      <c r="AC978" t="s">
        <v>74</v>
      </c>
      <c r="AD978" t="s">
        <v>74</v>
      </c>
      <c r="AE978" t="s">
        <v>74</v>
      </c>
      <c r="AF978" t="s">
        <v>74</v>
      </c>
      <c r="AG978">
        <v>36</v>
      </c>
      <c r="AH978">
        <v>84</v>
      </c>
      <c r="AI978">
        <v>86</v>
      </c>
      <c r="AJ978">
        <v>3</v>
      </c>
      <c r="AK978">
        <v>38</v>
      </c>
      <c r="AL978" t="s">
        <v>11352</v>
      </c>
      <c r="AM978" t="s">
        <v>1417</v>
      </c>
      <c r="AN978" t="s">
        <v>3011</v>
      </c>
      <c r="AO978" t="s">
        <v>13849</v>
      </c>
      <c r="AP978" t="s">
        <v>13850</v>
      </c>
      <c r="AQ978" t="s">
        <v>74</v>
      </c>
      <c r="AR978" t="s">
        <v>13851</v>
      </c>
      <c r="AS978" t="s">
        <v>13852</v>
      </c>
      <c r="AT978" t="s">
        <v>13836</v>
      </c>
      <c r="AU978">
        <v>2003</v>
      </c>
      <c r="AV978">
        <v>332</v>
      </c>
      <c r="AW978">
        <v>5</v>
      </c>
      <c r="AX978" t="s">
        <v>74</v>
      </c>
      <c r="AY978" t="s">
        <v>74</v>
      </c>
      <c r="AZ978" t="s">
        <v>74</v>
      </c>
      <c r="BA978" t="s">
        <v>74</v>
      </c>
      <c r="BB978">
        <v>981</v>
      </c>
      <c r="BC978">
        <v>988</v>
      </c>
      <c r="BD978" t="s">
        <v>74</v>
      </c>
      <c r="BE978" t="s">
        <v>13853</v>
      </c>
      <c r="BF978" t="str">
        <f>HYPERLINK("http://dx.doi.org/10.1016/j.jmb.2003.07.014","http://dx.doi.org/10.1016/j.jmb.2003.07.014")</f>
        <v>http://dx.doi.org/10.1016/j.jmb.2003.07.014</v>
      </c>
      <c r="BG978" t="s">
        <v>74</v>
      </c>
      <c r="BH978" t="s">
        <v>74</v>
      </c>
      <c r="BI978">
        <v>8</v>
      </c>
      <c r="BJ978" t="s">
        <v>10211</v>
      </c>
      <c r="BK978" t="s">
        <v>96</v>
      </c>
      <c r="BL978" t="s">
        <v>10211</v>
      </c>
      <c r="BM978" t="s">
        <v>13854</v>
      </c>
      <c r="BN978">
        <v>14499602</v>
      </c>
      <c r="BO978" t="s">
        <v>74</v>
      </c>
      <c r="BP978" t="s">
        <v>74</v>
      </c>
      <c r="BQ978" t="s">
        <v>74</v>
      </c>
      <c r="BR978" t="s">
        <v>99</v>
      </c>
      <c r="BS978" t="s">
        <v>13855</v>
      </c>
      <c r="BT978" t="str">
        <f>HYPERLINK("https%3A%2F%2Fwww.webofscience.com%2Fwos%2Fwoscc%2Ffull-record%2FWOS:000185575300001","View Full Record in Web of Science")</f>
        <v>View Full Record in Web of Science</v>
      </c>
    </row>
    <row r="979" spans="1:72" x14ac:dyDescent="0.15">
      <c r="A979" t="s">
        <v>72</v>
      </c>
      <c r="B979" t="s">
        <v>13856</v>
      </c>
      <c r="C979" t="s">
        <v>74</v>
      </c>
      <c r="D979" t="s">
        <v>74</v>
      </c>
      <c r="E979" t="s">
        <v>74</v>
      </c>
      <c r="F979" t="s">
        <v>13856</v>
      </c>
      <c r="G979" t="s">
        <v>74</v>
      </c>
      <c r="H979" t="s">
        <v>74</v>
      </c>
      <c r="I979" t="s">
        <v>13857</v>
      </c>
      <c r="J979" t="s">
        <v>13842</v>
      </c>
      <c r="K979" t="s">
        <v>74</v>
      </c>
      <c r="L979" t="s">
        <v>74</v>
      </c>
      <c r="M979" t="s">
        <v>77</v>
      </c>
      <c r="N979" t="s">
        <v>78</v>
      </c>
      <c r="O979" t="s">
        <v>74</v>
      </c>
      <c r="P979" t="s">
        <v>74</v>
      </c>
      <c r="Q979" t="s">
        <v>74</v>
      </c>
      <c r="R979" t="s">
        <v>74</v>
      </c>
      <c r="S979" t="s">
        <v>74</v>
      </c>
      <c r="T979" t="s">
        <v>13858</v>
      </c>
      <c r="U979" t="s">
        <v>13859</v>
      </c>
      <c r="V979" t="s">
        <v>13860</v>
      </c>
      <c r="W979" t="s">
        <v>13861</v>
      </c>
      <c r="X979" t="s">
        <v>13862</v>
      </c>
      <c r="Y979" t="s">
        <v>13863</v>
      </c>
      <c r="Z979" t="s">
        <v>13864</v>
      </c>
      <c r="AA979" t="s">
        <v>74</v>
      </c>
      <c r="AB979" t="s">
        <v>74</v>
      </c>
      <c r="AC979" t="s">
        <v>74</v>
      </c>
      <c r="AD979" t="s">
        <v>74</v>
      </c>
      <c r="AE979" t="s">
        <v>74</v>
      </c>
      <c r="AF979" t="s">
        <v>74</v>
      </c>
      <c r="AG979">
        <v>56</v>
      </c>
      <c r="AH979">
        <v>32</v>
      </c>
      <c r="AI979">
        <v>35</v>
      </c>
      <c r="AJ979">
        <v>0</v>
      </c>
      <c r="AK979">
        <v>3</v>
      </c>
      <c r="AL979" t="s">
        <v>11352</v>
      </c>
      <c r="AM979" t="s">
        <v>1417</v>
      </c>
      <c r="AN979" t="s">
        <v>3011</v>
      </c>
      <c r="AO979" t="s">
        <v>13849</v>
      </c>
      <c r="AP979" t="s">
        <v>13850</v>
      </c>
      <c r="AQ979" t="s">
        <v>74</v>
      </c>
      <c r="AR979" t="s">
        <v>13851</v>
      </c>
      <c r="AS979" t="s">
        <v>13852</v>
      </c>
      <c r="AT979" t="s">
        <v>13836</v>
      </c>
      <c r="AU979">
        <v>2003</v>
      </c>
      <c r="AV979">
        <v>332</v>
      </c>
      <c r="AW979">
        <v>5</v>
      </c>
      <c r="AX979" t="s">
        <v>74</v>
      </c>
      <c r="AY979" t="s">
        <v>74</v>
      </c>
      <c r="AZ979" t="s">
        <v>74</v>
      </c>
      <c r="BA979" t="s">
        <v>74</v>
      </c>
      <c r="BB979">
        <v>1071</v>
      </c>
      <c r="BC979">
        <v>1082</v>
      </c>
      <c r="BD979" t="s">
        <v>74</v>
      </c>
      <c r="BE979" t="s">
        <v>13865</v>
      </c>
      <c r="BF979" t="str">
        <f>HYPERLINK("http://dx.doi.org/10.1016/j.jmb.2003.07.011","http://dx.doi.org/10.1016/j.jmb.2003.07.011")</f>
        <v>http://dx.doi.org/10.1016/j.jmb.2003.07.011</v>
      </c>
      <c r="BG979" t="s">
        <v>74</v>
      </c>
      <c r="BH979" t="s">
        <v>74</v>
      </c>
      <c r="BI979">
        <v>12</v>
      </c>
      <c r="BJ979" t="s">
        <v>10211</v>
      </c>
      <c r="BK979" t="s">
        <v>96</v>
      </c>
      <c r="BL979" t="s">
        <v>10211</v>
      </c>
      <c r="BM979" t="s">
        <v>13854</v>
      </c>
      <c r="BN979">
        <v>14499610</v>
      </c>
      <c r="BO979" t="s">
        <v>74</v>
      </c>
      <c r="BP979" t="s">
        <v>74</v>
      </c>
      <c r="BQ979" t="s">
        <v>74</v>
      </c>
      <c r="BR979" t="s">
        <v>99</v>
      </c>
      <c r="BS979" t="s">
        <v>13866</v>
      </c>
      <c r="BT979" t="str">
        <f>HYPERLINK("https%3A%2F%2Fwww.webofscience.com%2Fwos%2Fwoscc%2Ffull-record%2FWOS:000185575300009","View Full Record in Web of Science")</f>
        <v>View Full Record in Web of Science</v>
      </c>
    </row>
    <row r="980" spans="1:72" x14ac:dyDescent="0.15">
      <c r="A980" t="s">
        <v>72</v>
      </c>
      <c r="B980" t="s">
        <v>13867</v>
      </c>
      <c r="C980" t="s">
        <v>74</v>
      </c>
      <c r="D980" t="s">
        <v>74</v>
      </c>
      <c r="E980" t="s">
        <v>74</v>
      </c>
      <c r="F980" t="s">
        <v>13867</v>
      </c>
      <c r="G980" t="s">
        <v>74</v>
      </c>
      <c r="H980" t="s">
        <v>74</v>
      </c>
      <c r="I980" t="s">
        <v>13868</v>
      </c>
      <c r="J980" t="s">
        <v>13869</v>
      </c>
      <c r="K980" t="s">
        <v>74</v>
      </c>
      <c r="L980" t="s">
        <v>74</v>
      </c>
      <c r="M980" t="s">
        <v>77</v>
      </c>
      <c r="N980" t="s">
        <v>822</v>
      </c>
      <c r="O980" t="s">
        <v>74</v>
      </c>
      <c r="P980" t="s">
        <v>74</v>
      </c>
      <c r="Q980" t="s">
        <v>74</v>
      </c>
      <c r="R980" t="s">
        <v>74</v>
      </c>
      <c r="S980" t="s">
        <v>74</v>
      </c>
      <c r="T980" t="s">
        <v>13870</v>
      </c>
      <c r="U980" t="s">
        <v>13871</v>
      </c>
      <c r="V980" t="s">
        <v>13872</v>
      </c>
      <c r="W980" t="s">
        <v>13873</v>
      </c>
      <c r="X980" t="s">
        <v>2790</v>
      </c>
      <c r="Y980" t="s">
        <v>13874</v>
      </c>
      <c r="Z980" t="s">
        <v>5551</v>
      </c>
      <c r="AA980" t="s">
        <v>13875</v>
      </c>
      <c r="AB980" t="s">
        <v>13876</v>
      </c>
      <c r="AC980" t="s">
        <v>74</v>
      </c>
      <c r="AD980" t="s">
        <v>74</v>
      </c>
      <c r="AE980" t="s">
        <v>74</v>
      </c>
      <c r="AF980" t="s">
        <v>74</v>
      </c>
      <c r="AG980">
        <v>24</v>
      </c>
      <c r="AH980">
        <v>10</v>
      </c>
      <c r="AI980">
        <v>12</v>
      </c>
      <c r="AJ980">
        <v>0</v>
      </c>
      <c r="AK980">
        <v>2</v>
      </c>
      <c r="AL980" t="s">
        <v>13877</v>
      </c>
      <c r="AM980" t="s">
        <v>13878</v>
      </c>
      <c r="AN980" t="s">
        <v>13879</v>
      </c>
      <c r="AO980" t="s">
        <v>13880</v>
      </c>
      <c r="AP980" t="s">
        <v>74</v>
      </c>
      <c r="AQ980" t="s">
        <v>74</v>
      </c>
      <c r="AR980" t="s">
        <v>13881</v>
      </c>
      <c r="AS980" t="s">
        <v>13882</v>
      </c>
      <c r="AT980" t="s">
        <v>13883</v>
      </c>
      <c r="AU980">
        <v>2003</v>
      </c>
      <c r="AV980">
        <v>38</v>
      </c>
      <c r="AW980">
        <v>2</v>
      </c>
      <c r="AX980" t="s">
        <v>74</v>
      </c>
      <c r="AY980" t="s">
        <v>74</v>
      </c>
      <c r="AZ980" t="s">
        <v>74</v>
      </c>
      <c r="BA980" t="s">
        <v>74</v>
      </c>
      <c r="BB980">
        <v>402</v>
      </c>
      <c r="BC980">
        <v>405</v>
      </c>
      <c r="BD980" t="s">
        <v>74</v>
      </c>
      <c r="BE980" t="s">
        <v>74</v>
      </c>
      <c r="BF980" t="s">
        <v>74</v>
      </c>
      <c r="BG980" t="s">
        <v>74</v>
      </c>
      <c r="BH980" t="s">
        <v>74</v>
      </c>
      <c r="BI980">
        <v>4</v>
      </c>
      <c r="BJ980" t="s">
        <v>331</v>
      </c>
      <c r="BK980" t="s">
        <v>96</v>
      </c>
      <c r="BL980" t="s">
        <v>331</v>
      </c>
      <c r="BM980" t="s">
        <v>13884</v>
      </c>
      <c r="BN980" t="s">
        <v>74</v>
      </c>
      <c r="BO980" t="s">
        <v>74</v>
      </c>
      <c r="BP980" t="s">
        <v>74</v>
      </c>
      <c r="BQ980" t="s">
        <v>74</v>
      </c>
      <c r="BR980" t="s">
        <v>99</v>
      </c>
      <c r="BS980" t="s">
        <v>13885</v>
      </c>
      <c r="BT980" t="str">
        <f>HYPERLINK("https%3A%2F%2Fwww.webofscience.com%2Fwos%2Fwoscc%2Ffull-record%2FWOS:000188000600024","View Full Record in Web of Science")</f>
        <v>View Full Record in Web of Science</v>
      </c>
    </row>
    <row r="981" spans="1:72" x14ac:dyDescent="0.15">
      <c r="A981" t="s">
        <v>72</v>
      </c>
      <c r="B981" t="s">
        <v>13886</v>
      </c>
      <c r="C981" t="s">
        <v>74</v>
      </c>
      <c r="D981" t="s">
        <v>74</v>
      </c>
      <c r="E981" t="s">
        <v>74</v>
      </c>
      <c r="F981" t="s">
        <v>13886</v>
      </c>
      <c r="G981" t="s">
        <v>74</v>
      </c>
      <c r="H981" t="s">
        <v>74</v>
      </c>
      <c r="I981" t="s">
        <v>13887</v>
      </c>
      <c r="J981" t="s">
        <v>13888</v>
      </c>
      <c r="K981" t="s">
        <v>74</v>
      </c>
      <c r="L981" t="s">
        <v>74</v>
      </c>
      <c r="M981" t="s">
        <v>77</v>
      </c>
      <c r="N981" t="s">
        <v>78</v>
      </c>
      <c r="O981" t="s">
        <v>74</v>
      </c>
      <c r="P981" t="s">
        <v>74</v>
      </c>
      <c r="Q981" t="s">
        <v>74</v>
      </c>
      <c r="R981" t="s">
        <v>74</v>
      </c>
      <c r="S981" t="s">
        <v>74</v>
      </c>
      <c r="T981" t="s">
        <v>74</v>
      </c>
      <c r="U981" t="s">
        <v>13889</v>
      </c>
      <c r="V981" t="s">
        <v>13890</v>
      </c>
      <c r="W981" t="s">
        <v>13891</v>
      </c>
      <c r="X981" t="s">
        <v>13892</v>
      </c>
      <c r="Y981" t="s">
        <v>13893</v>
      </c>
      <c r="Z981" t="s">
        <v>74</v>
      </c>
      <c r="AA981" t="s">
        <v>10684</v>
      </c>
      <c r="AB981" t="s">
        <v>10685</v>
      </c>
      <c r="AC981" t="s">
        <v>74</v>
      </c>
      <c r="AD981" t="s">
        <v>74</v>
      </c>
      <c r="AE981" t="s">
        <v>74</v>
      </c>
      <c r="AF981" t="s">
        <v>74</v>
      </c>
      <c r="AG981">
        <v>18</v>
      </c>
      <c r="AH981">
        <v>26</v>
      </c>
      <c r="AI981">
        <v>28</v>
      </c>
      <c r="AJ981">
        <v>0</v>
      </c>
      <c r="AK981">
        <v>3</v>
      </c>
      <c r="AL981" t="s">
        <v>1235</v>
      </c>
      <c r="AM981" t="s">
        <v>214</v>
      </c>
      <c r="AN981" t="s">
        <v>1236</v>
      </c>
      <c r="AO981" t="s">
        <v>13894</v>
      </c>
      <c r="AP981" t="s">
        <v>74</v>
      </c>
      <c r="AQ981" t="s">
        <v>74</v>
      </c>
      <c r="AR981" t="s">
        <v>13895</v>
      </c>
      <c r="AS981" t="s">
        <v>13896</v>
      </c>
      <c r="AT981" t="s">
        <v>13883</v>
      </c>
      <c r="AU981">
        <v>2003</v>
      </c>
      <c r="AV981">
        <v>44</v>
      </c>
      <c r="AW981">
        <v>5</v>
      </c>
      <c r="AX981" t="s">
        <v>74</v>
      </c>
      <c r="AY981" t="s">
        <v>74</v>
      </c>
      <c r="AZ981" t="s">
        <v>74</v>
      </c>
      <c r="BA981" t="s">
        <v>74</v>
      </c>
      <c r="BB981">
        <v>20</v>
      </c>
      <c r="BC981">
        <v>22</v>
      </c>
      <c r="BD981" t="s">
        <v>74</v>
      </c>
      <c r="BE981" t="s">
        <v>13897</v>
      </c>
      <c r="BF981" t="str">
        <f>HYPERLINK("http://dx.doi.org/10.1046/j.1468-4004.2003.44520.x","http://dx.doi.org/10.1046/j.1468-4004.2003.44520.x")</f>
        <v>http://dx.doi.org/10.1046/j.1468-4004.2003.44520.x</v>
      </c>
      <c r="BG981" t="s">
        <v>74</v>
      </c>
      <c r="BH981" t="s">
        <v>74</v>
      </c>
      <c r="BI981">
        <v>3</v>
      </c>
      <c r="BJ981" t="s">
        <v>13898</v>
      </c>
      <c r="BK981" t="s">
        <v>96</v>
      </c>
      <c r="BL981" t="s">
        <v>13898</v>
      </c>
      <c r="BM981" t="s">
        <v>13899</v>
      </c>
      <c r="BN981" t="s">
        <v>74</v>
      </c>
      <c r="BO981" t="s">
        <v>74</v>
      </c>
      <c r="BP981" t="s">
        <v>74</v>
      </c>
      <c r="BQ981" t="s">
        <v>74</v>
      </c>
      <c r="BR981" t="s">
        <v>99</v>
      </c>
      <c r="BS981" t="s">
        <v>13900</v>
      </c>
      <c r="BT981" t="str">
        <f>HYPERLINK("https%3A%2F%2Fwww.webofscience.com%2Fwos%2Fwoscc%2Ffull-record%2FWOS:000185445500016","View Full Record in Web of Science")</f>
        <v>View Full Record in Web of Science</v>
      </c>
    </row>
    <row r="982" spans="1:72" x14ac:dyDescent="0.15">
      <c r="A982" t="s">
        <v>72</v>
      </c>
      <c r="B982" t="s">
        <v>13901</v>
      </c>
      <c r="C982" t="s">
        <v>74</v>
      </c>
      <c r="D982" t="s">
        <v>74</v>
      </c>
      <c r="E982" t="s">
        <v>74</v>
      </c>
      <c r="F982" t="s">
        <v>13901</v>
      </c>
      <c r="G982" t="s">
        <v>74</v>
      </c>
      <c r="H982" t="s">
        <v>74</v>
      </c>
      <c r="I982" t="s">
        <v>13902</v>
      </c>
      <c r="J982" t="s">
        <v>13903</v>
      </c>
      <c r="K982" t="s">
        <v>74</v>
      </c>
      <c r="L982" t="s">
        <v>74</v>
      </c>
      <c r="M982" t="s">
        <v>77</v>
      </c>
      <c r="N982" t="s">
        <v>78</v>
      </c>
      <c r="O982" t="s">
        <v>74</v>
      </c>
      <c r="P982" t="s">
        <v>74</v>
      </c>
      <c r="Q982" t="s">
        <v>74</v>
      </c>
      <c r="R982" t="s">
        <v>74</v>
      </c>
      <c r="S982" t="s">
        <v>74</v>
      </c>
      <c r="T982" t="s">
        <v>74</v>
      </c>
      <c r="U982" t="s">
        <v>13904</v>
      </c>
      <c r="V982" t="s">
        <v>13905</v>
      </c>
      <c r="W982" t="s">
        <v>6427</v>
      </c>
      <c r="X982" t="s">
        <v>82</v>
      </c>
      <c r="Y982" t="s">
        <v>3086</v>
      </c>
      <c r="Z982" t="s">
        <v>7019</v>
      </c>
      <c r="AA982" t="s">
        <v>13906</v>
      </c>
      <c r="AB982" t="s">
        <v>13907</v>
      </c>
      <c r="AC982" t="s">
        <v>74</v>
      </c>
      <c r="AD982" t="s">
        <v>74</v>
      </c>
      <c r="AE982" t="s">
        <v>74</v>
      </c>
      <c r="AF982" t="s">
        <v>74</v>
      </c>
      <c r="AG982">
        <v>40</v>
      </c>
      <c r="AH982">
        <v>458</v>
      </c>
      <c r="AI982">
        <v>496</v>
      </c>
      <c r="AJ982">
        <v>3</v>
      </c>
      <c r="AK982">
        <v>87</v>
      </c>
      <c r="AL982" t="s">
        <v>13908</v>
      </c>
      <c r="AM982" t="s">
        <v>13909</v>
      </c>
      <c r="AN982" t="s">
        <v>13910</v>
      </c>
      <c r="AO982" t="s">
        <v>13911</v>
      </c>
      <c r="AP982" t="s">
        <v>13912</v>
      </c>
      <c r="AQ982" t="s">
        <v>74</v>
      </c>
      <c r="AR982" t="s">
        <v>13903</v>
      </c>
      <c r="AS982" t="s">
        <v>13903</v>
      </c>
      <c r="AT982" t="s">
        <v>13883</v>
      </c>
      <c r="AU982">
        <v>2003</v>
      </c>
      <c r="AV982">
        <v>120</v>
      </c>
      <c r="AW982">
        <v>4</v>
      </c>
      <c r="AX982" t="s">
        <v>74</v>
      </c>
      <c r="AY982" t="s">
        <v>74</v>
      </c>
      <c r="AZ982" t="s">
        <v>74</v>
      </c>
      <c r="BA982" t="s">
        <v>74</v>
      </c>
      <c r="BB982">
        <v>1082</v>
      </c>
      <c r="BC982">
        <v>1090</v>
      </c>
      <c r="BD982" t="s">
        <v>74</v>
      </c>
      <c r="BE982" t="s">
        <v>13913</v>
      </c>
      <c r="BF982" t="str">
        <f>HYPERLINK("http://dx.doi.org/10.1642/0004-8038(2003)120[1082:EOSTOA]2.0.CO;2","http://dx.doi.org/10.1642/0004-8038(2003)120[1082:EOSTOA]2.0.CO;2")</f>
        <v>http://dx.doi.org/10.1642/0004-8038(2003)120[1082:EOSTOA]2.0.CO;2</v>
      </c>
      <c r="BG982" t="s">
        <v>74</v>
      </c>
      <c r="BH982" t="s">
        <v>74</v>
      </c>
      <c r="BI982">
        <v>9</v>
      </c>
      <c r="BJ982" t="s">
        <v>1553</v>
      </c>
      <c r="BK982" t="s">
        <v>96</v>
      </c>
      <c r="BL982" t="s">
        <v>331</v>
      </c>
      <c r="BM982" t="s">
        <v>13914</v>
      </c>
      <c r="BN982" t="s">
        <v>74</v>
      </c>
      <c r="BO982" t="s">
        <v>74</v>
      </c>
      <c r="BP982" t="s">
        <v>74</v>
      </c>
      <c r="BQ982" t="s">
        <v>74</v>
      </c>
      <c r="BR982" t="s">
        <v>99</v>
      </c>
      <c r="BS982" t="s">
        <v>13915</v>
      </c>
      <c r="BT982" t="str">
        <f>HYPERLINK("https%3A%2F%2Fwww.webofscience.com%2Fwos%2Fwoscc%2Ffull-record%2FWOS:000186338400015","View Full Record in Web of Science")</f>
        <v>View Full Record in Web of Science</v>
      </c>
    </row>
    <row r="983" spans="1:72" x14ac:dyDescent="0.15">
      <c r="A983" t="s">
        <v>72</v>
      </c>
      <c r="B983" t="s">
        <v>13916</v>
      </c>
      <c r="C983" t="s">
        <v>74</v>
      </c>
      <c r="D983" t="s">
        <v>74</v>
      </c>
      <c r="E983" t="s">
        <v>74</v>
      </c>
      <c r="F983" t="s">
        <v>13916</v>
      </c>
      <c r="G983" t="s">
        <v>74</v>
      </c>
      <c r="H983" t="s">
        <v>74</v>
      </c>
      <c r="I983" t="s">
        <v>13917</v>
      </c>
      <c r="J983" t="s">
        <v>13918</v>
      </c>
      <c r="K983" t="s">
        <v>74</v>
      </c>
      <c r="L983" t="s">
        <v>74</v>
      </c>
      <c r="M983" t="s">
        <v>77</v>
      </c>
      <c r="N983" t="s">
        <v>78</v>
      </c>
      <c r="O983" t="s">
        <v>74</v>
      </c>
      <c r="P983" t="s">
        <v>74</v>
      </c>
      <c r="Q983" t="s">
        <v>74</v>
      </c>
      <c r="R983" t="s">
        <v>74</v>
      </c>
      <c r="S983" t="s">
        <v>74</v>
      </c>
      <c r="T983" t="s">
        <v>13919</v>
      </c>
      <c r="U983" t="s">
        <v>13920</v>
      </c>
      <c r="V983" t="s">
        <v>13921</v>
      </c>
      <c r="W983" t="s">
        <v>13922</v>
      </c>
      <c r="X983" t="s">
        <v>13923</v>
      </c>
      <c r="Y983" t="s">
        <v>13924</v>
      </c>
      <c r="Z983" t="s">
        <v>1980</v>
      </c>
      <c r="AA983" t="s">
        <v>13925</v>
      </c>
      <c r="AB983" t="s">
        <v>74</v>
      </c>
      <c r="AC983" t="s">
        <v>74</v>
      </c>
      <c r="AD983" t="s">
        <v>74</v>
      </c>
      <c r="AE983" t="s">
        <v>74</v>
      </c>
      <c r="AF983" t="s">
        <v>74</v>
      </c>
      <c r="AG983">
        <v>45</v>
      </c>
      <c r="AH983">
        <v>44</v>
      </c>
      <c r="AI983">
        <v>57</v>
      </c>
      <c r="AJ983">
        <v>0</v>
      </c>
      <c r="AK983">
        <v>27</v>
      </c>
      <c r="AL983" t="s">
        <v>86</v>
      </c>
      <c r="AM983" t="s">
        <v>3376</v>
      </c>
      <c r="AN983" t="s">
        <v>3377</v>
      </c>
      <c r="AO983" t="s">
        <v>13926</v>
      </c>
      <c r="AP983" t="s">
        <v>13927</v>
      </c>
      <c r="AQ983" t="s">
        <v>74</v>
      </c>
      <c r="AR983" t="s">
        <v>13928</v>
      </c>
      <c r="AS983" t="s">
        <v>13929</v>
      </c>
      <c r="AT983" t="s">
        <v>13883</v>
      </c>
      <c r="AU983">
        <v>2003</v>
      </c>
      <c r="AV983">
        <v>12</v>
      </c>
      <c r="AW983">
        <v>10</v>
      </c>
      <c r="AX983" t="s">
        <v>74</v>
      </c>
      <c r="AY983" t="s">
        <v>74</v>
      </c>
      <c r="AZ983" t="s">
        <v>74</v>
      </c>
      <c r="BA983" t="s">
        <v>74</v>
      </c>
      <c r="BB983">
        <v>2107</v>
      </c>
      <c r="BC983">
        <v>2119</v>
      </c>
      <c r="BD983" t="s">
        <v>74</v>
      </c>
      <c r="BE983" t="s">
        <v>13930</v>
      </c>
      <c r="BF983" t="str">
        <f>HYPERLINK("http://dx.doi.org/10.1023/A:1024190331384","http://dx.doi.org/10.1023/A:1024190331384")</f>
        <v>http://dx.doi.org/10.1023/A:1024190331384</v>
      </c>
      <c r="BG983" t="s">
        <v>74</v>
      </c>
      <c r="BH983" t="s">
        <v>74</v>
      </c>
      <c r="BI983">
        <v>13</v>
      </c>
      <c r="BJ983" t="s">
        <v>11496</v>
      </c>
      <c r="BK983" t="s">
        <v>96</v>
      </c>
      <c r="BL983" t="s">
        <v>97</v>
      </c>
      <c r="BM983" t="s">
        <v>13931</v>
      </c>
      <c r="BN983" t="s">
        <v>74</v>
      </c>
      <c r="BO983" t="s">
        <v>74</v>
      </c>
      <c r="BP983" t="s">
        <v>74</v>
      </c>
      <c r="BQ983" t="s">
        <v>74</v>
      </c>
      <c r="BR983" t="s">
        <v>99</v>
      </c>
      <c r="BS983" t="s">
        <v>13932</v>
      </c>
      <c r="BT983" t="str">
        <f>HYPERLINK("https%3A%2F%2Fwww.webofscience.com%2Fwos%2Fwoscc%2Ffull-record%2FWOS:000183444400008","View Full Record in Web of Science")</f>
        <v>View Full Record in Web of Science</v>
      </c>
    </row>
    <row r="984" spans="1:72" x14ac:dyDescent="0.15">
      <c r="A984" t="s">
        <v>72</v>
      </c>
      <c r="B984" t="s">
        <v>13933</v>
      </c>
      <c r="C984" t="s">
        <v>74</v>
      </c>
      <c r="D984" t="s">
        <v>74</v>
      </c>
      <c r="E984" t="s">
        <v>74</v>
      </c>
      <c r="F984" t="s">
        <v>13933</v>
      </c>
      <c r="G984" t="s">
        <v>74</v>
      </c>
      <c r="H984" t="s">
        <v>74</v>
      </c>
      <c r="I984" t="s">
        <v>13934</v>
      </c>
      <c r="J984" t="s">
        <v>13935</v>
      </c>
      <c r="K984" t="s">
        <v>74</v>
      </c>
      <c r="L984" t="s">
        <v>74</v>
      </c>
      <c r="M984" t="s">
        <v>77</v>
      </c>
      <c r="N984" t="s">
        <v>78</v>
      </c>
      <c r="O984" t="s">
        <v>74</v>
      </c>
      <c r="P984" t="s">
        <v>74</v>
      </c>
      <c r="Q984" t="s">
        <v>74</v>
      </c>
      <c r="R984" t="s">
        <v>74</v>
      </c>
      <c r="S984" t="s">
        <v>74</v>
      </c>
      <c r="T984" t="s">
        <v>74</v>
      </c>
      <c r="U984" t="s">
        <v>13936</v>
      </c>
      <c r="V984" t="s">
        <v>13937</v>
      </c>
      <c r="W984" t="s">
        <v>13938</v>
      </c>
      <c r="X984" t="s">
        <v>11767</v>
      </c>
      <c r="Y984" t="s">
        <v>13939</v>
      </c>
      <c r="Z984" t="s">
        <v>74</v>
      </c>
      <c r="AA984" t="s">
        <v>74</v>
      </c>
      <c r="AB984" t="s">
        <v>11770</v>
      </c>
      <c r="AC984" t="s">
        <v>74</v>
      </c>
      <c r="AD984" t="s">
        <v>74</v>
      </c>
      <c r="AE984" t="s">
        <v>74</v>
      </c>
      <c r="AF984" t="s">
        <v>74</v>
      </c>
      <c r="AG984">
        <v>55</v>
      </c>
      <c r="AH984">
        <v>25</v>
      </c>
      <c r="AI984">
        <v>29</v>
      </c>
      <c r="AJ984">
        <v>0</v>
      </c>
      <c r="AK984">
        <v>8</v>
      </c>
      <c r="AL984" t="s">
        <v>13940</v>
      </c>
      <c r="AM984" t="s">
        <v>13941</v>
      </c>
      <c r="AN984" t="s">
        <v>13942</v>
      </c>
      <c r="AO984" t="s">
        <v>13943</v>
      </c>
      <c r="AP984" t="s">
        <v>74</v>
      </c>
      <c r="AQ984" t="s">
        <v>74</v>
      </c>
      <c r="AR984" t="s">
        <v>13944</v>
      </c>
      <c r="AS984" t="s">
        <v>13945</v>
      </c>
      <c r="AT984" t="s">
        <v>13883</v>
      </c>
      <c r="AU984">
        <v>2003</v>
      </c>
      <c r="AV984">
        <v>205</v>
      </c>
      <c r="AW984">
        <v>2</v>
      </c>
      <c r="AX984" t="s">
        <v>74</v>
      </c>
      <c r="AY984" t="s">
        <v>74</v>
      </c>
      <c r="AZ984" t="s">
        <v>74</v>
      </c>
      <c r="BA984" t="s">
        <v>74</v>
      </c>
      <c r="BB984">
        <v>144</v>
      </c>
      <c r="BC984">
        <v>159</v>
      </c>
      <c r="BD984" t="s">
        <v>74</v>
      </c>
      <c r="BE984" t="s">
        <v>13946</v>
      </c>
      <c r="BF984" t="str">
        <f>HYPERLINK("http://dx.doi.org/10.2307/1543235","http://dx.doi.org/10.2307/1543235")</f>
        <v>http://dx.doi.org/10.2307/1543235</v>
      </c>
      <c r="BG984" t="s">
        <v>74</v>
      </c>
      <c r="BH984" t="s">
        <v>74</v>
      </c>
      <c r="BI984">
        <v>16</v>
      </c>
      <c r="BJ984" t="s">
        <v>13947</v>
      </c>
      <c r="BK984" t="s">
        <v>96</v>
      </c>
      <c r="BL984" t="s">
        <v>13948</v>
      </c>
      <c r="BM984" t="s">
        <v>13949</v>
      </c>
      <c r="BN984">
        <v>14583512</v>
      </c>
      <c r="BO984" t="s">
        <v>156</v>
      </c>
      <c r="BP984" t="s">
        <v>74</v>
      </c>
      <c r="BQ984" t="s">
        <v>74</v>
      </c>
      <c r="BR984" t="s">
        <v>99</v>
      </c>
      <c r="BS984" t="s">
        <v>13950</v>
      </c>
      <c r="BT984" t="str">
        <f>HYPERLINK("https%3A%2F%2Fwww.webofscience.com%2Fwos%2Fwoscc%2Ffull-record%2FWOS:000186338800007","View Full Record in Web of Science")</f>
        <v>View Full Record in Web of Science</v>
      </c>
    </row>
    <row r="985" spans="1:72" x14ac:dyDescent="0.15">
      <c r="A985" t="s">
        <v>72</v>
      </c>
      <c r="B985" t="s">
        <v>13951</v>
      </c>
      <c r="C985" t="s">
        <v>74</v>
      </c>
      <c r="D985" t="s">
        <v>74</v>
      </c>
      <c r="E985" t="s">
        <v>74</v>
      </c>
      <c r="F985" t="s">
        <v>13951</v>
      </c>
      <c r="G985" t="s">
        <v>74</v>
      </c>
      <c r="H985" t="s">
        <v>74</v>
      </c>
      <c r="I985" t="s">
        <v>13952</v>
      </c>
      <c r="J985" t="s">
        <v>2852</v>
      </c>
      <c r="K985" t="s">
        <v>74</v>
      </c>
      <c r="L985" t="s">
        <v>74</v>
      </c>
      <c r="M985" t="s">
        <v>77</v>
      </c>
      <c r="N985" t="s">
        <v>78</v>
      </c>
      <c r="O985" t="s">
        <v>74</v>
      </c>
      <c r="P985" t="s">
        <v>74</v>
      </c>
      <c r="Q985" t="s">
        <v>74</v>
      </c>
      <c r="R985" t="s">
        <v>74</v>
      </c>
      <c r="S985" t="s">
        <v>74</v>
      </c>
      <c r="T985" t="s">
        <v>74</v>
      </c>
      <c r="U985" t="s">
        <v>13953</v>
      </c>
      <c r="V985" t="s">
        <v>13954</v>
      </c>
      <c r="W985" t="s">
        <v>13955</v>
      </c>
      <c r="X985" t="s">
        <v>13956</v>
      </c>
      <c r="Y985" t="s">
        <v>13957</v>
      </c>
      <c r="Z985" t="s">
        <v>13958</v>
      </c>
      <c r="AA985" t="s">
        <v>74</v>
      </c>
      <c r="AB985" t="s">
        <v>13959</v>
      </c>
      <c r="AC985" t="s">
        <v>74</v>
      </c>
      <c r="AD985" t="s">
        <v>74</v>
      </c>
      <c r="AE985" t="s">
        <v>74</v>
      </c>
      <c r="AF985" t="s">
        <v>74</v>
      </c>
      <c r="AG985">
        <v>31</v>
      </c>
      <c r="AH985">
        <v>8</v>
      </c>
      <c r="AI985">
        <v>13</v>
      </c>
      <c r="AJ985">
        <v>0</v>
      </c>
      <c r="AK985">
        <v>14</v>
      </c>
      <c r="AL985" t="s">
        <v>2859</v>
      </c>
      <c r="AM985" t="s">
        <v>2860</v>
      </c>
      <c r="AN985" t="s">
        <v>2861</v>
      </c>
      <c r="AO985" t="s">
        <v>2862</v>
      </c>
      <c r="AP985" t="s">
        <v>2863</v>
      </c>
      <c r="AQ985" t="s">
        <v>74</v>
      </c>
      <c r="AR985" t="s">
        <v>2864</v>
      </c>
      <c r="AS985" t="s">
        <v>2865</v>
      </c>
      <c r="AT985" t="s">
        <v>13883</v>
      </c>
      <c r="AU985">
        <v>2003</v>
      </c>
      <c r="AV985">
        <v>60</v>
      </c>
      <c r="AW985">
        <v>10</v>
      </c>
      <c r="AX985" t="s">
        <v>74</v>
      </c>
      <c r="AY985" t="s">
        <v>74</v>
      </c>
      <c r="AZ985" t="s">
        <v>74</v>
      </c>
      <c r="BA985" t="s">
        <v>74</v>
      </c>
      <c r="BB985">
        <v>1281</v>
      </c>
      <c r="BC985">
        <v>1288</v>
      </c>
      <c r="BD985" t="s">
        <v>74</v>
      </c>
      <c r="BE985" t="s">
        <v>13960</v>
      </c>
      <c r="BF985" t="str">
        <f>HYPERLINK("http://dx.doi.org/10.1139/F03-110","http://dx.doi.org/10.1139/F03-110")</f>
        <v>http://dx.doi.org/10.1139/F03-110</v>
      </c>
      <c r="BG985" t="s">
        <v>74</v>
      </c>
      <c r="BH985" t="s">
        <v>74</v>
      </c>
      <c r="BI985">
        <v>8</v>
      </c>
      <c r="BJ985" t="s">
        <v>2867</v>
      </c>
      <c r="BK985" t="s">
        <v>96</v>
      </c>
      <c r="BL985" t="s">
        <v>2867</v>
      </c>
      <c r="BM985" t="s">
        <v>13961</v>
      </c>
      <c r="BN985" t="s">
        <v>74</v>
      </c>
      <c r="BO985" t="s">
        <v>74</v>
      </c>
      <c r="BP985" t="s">
        <v>74</v>
      </c>
      <c r="BQ985" t="s">
        <v>74</v>
      </c>
      <c r="BR985" t="s">
        <v>99</v>
      </c>
      <c r="BS985" t="s">
        <v>13962</v>
      </c>
      <c r="BT985" t="str">
        <f>HYPERLINK("https%3A%2F%2Fwww.webofscience.com%2Fwos%2Fwoscc%2Ffull-record%2FWOS:000186573400009","View Full Record in Web of Science")</f>
        <v>View Full Record in Web of Science</v>
      </c>
    </row>
    <row r="986" spans="1:72" x14ac:dyDescent="0.15">
      <c r="A986" t="s">
        <v>72</v>
      </c>
      <c r="B986" t="s">
        <v>13963</v>
      </c>
      <c r="C986" t="s">
        <v>74</v>
      </c>
      <c r="D986" t="s">
        <v>74</v>
      </c>
      <c r="E986" t="s">
        <v>74</v>
      </c>
      <c r="F986" t="s">
        <v>13963</v>
      </c>
      <c r="G986" t="s">
        <v>74</v>
      </c>
      <c r="H986" t="s">
        <v>74</v>
      </c>
      <c r="I986" t="s">
        <v>13964</v>
      </c>
      <c r="J986" t="s">
        <v>5968</v>
      </c>
      <c r="K986" t="s">
        <v>74</v>
      </c>
      <c r="L986" t="s">
        <v>74</v>
      </c>
      <c r="M986" t="s">
        <v>77</v>
      </c>
      <c r="N986" t="s">
        <v>268</v>
      </c>
      <c r="O986" t="s">
        <v>74</v>
      </c>
      <c r="P986" t="s">
        <v>74</v>
      </c>
      <c r="Q986" t="s">
        <v>74</v>
      </c>
      <c r="R986" t="s">
        <v>74</v>
      </c>
      <c r="S986" t="s">
        <v>74</v>
      </c>
      <c r="T986" t="s">
        <v>74</v>
      </c>
      <c r="U986" t="s">
        <v>13965</v>
      </c>
      <c r="V986" t="s">
        <v>13966</v>
      </c>
      <c r="W986" t="s">
        <v>13967</v>
      </c>
      <c r="X986" t="s">
        <v>13968</v>
      </c>
      <c r="Y986" t="s">
        <v>2464</v>
      </c>
      <c r="Z986" t="s">
        <v>74</v>
      </c>
      <c r="AA986" t="s">
        <v>13969</v>
      </c>
      <c r="AB986" t="s">
        <v>13970</v>
      </c>
      <c r="AC986" t="s">
        <v>74</v>
      </c>
      <c r="AD986" t="s">
        <v>74</v>
      </c>
      <c r="AE986" t="s">
        <v>74</v>
      </c>
      <c r="AF986" t="s">
        <v>74</v>
      </c>
      <c r="AG986">
        <v>121</v>
      </c>
      <c r="AH986">
        <v>918</v>
      </c>
      <c r="AI986">
        <v>1068</v>
      </c>
      <c r="AJ986">
        <v>5</v>
      </c>
      <c r="AK986">
        <v>327</v>
      </c>
      <c r="AL986" t="s">
        <v>86</v>
      </c>
      <c r="AM986" t="s">
        <v>3376</v>
      </c>
      <c r="AN986" t="s">
        <v>3377</v>
      </c>
      <c r="AO986" t="s">
        <v>5976</v>
      </c>
      <c r="AP986" t="s">
        <v>5977</v>
      </c>
      <c r="AQ986" t="s">
        <v>74</v>
      </c>
      <c r="AR986" t="s">
        <v>5968</v>
      </c>
      <c r="AS986" t="s">
        <v>5978</v>
      </c>
      <c r="AT986" t="s">
        <v>13883</v>
      </c>
      <c r="AU986">
        <v>2003</v>
      </c>
      <c r="AV986">
        <v>60</v>
      </c>
      <c r="AW986">
        <v>3</v>
      </c>
      <c r="AX986" t="s">
        <v>74</v>
      </c>
      <c r="AY986" t="s">
        <v>74</v>
      </c>
      <c r="AZ986" t="s">
        <v>74</v>
      </c>
      <c r="BA986" t="s">
        <v>74</v>
      </c>
      <c r="BB986">
        <v>243</v>
      </c>
      <c r="BC986">
        <v>274</v>
      </c>
      <c r="BD986" t="s">
        <v>74</v>
      </c>
      <c r="BE986" t="s">
        <v>13971</v>
      </c>
      <c r="BF986" t="str">
        <f>HYPERLINK("http://dx.doi.org/10.1023/A:1026021217991","http://dx.doi.org/10.1023/A:1026021217991")</f>
        <v>http://dx.doi.org/10.1023/A:1026021217991</v>
      </c>
      <c r="BG986" t="s">
        <v>74</v>
      </c>
      <c r="BH986" t="s">
        <v>74</v>
      </c>
      <c r="BI986">
        <v>32</v>
      </c>
      <c r="BJ986" t="s">
        <v>3631</v>
      </c>
      <c r="BK986" t="s">
        <v>96</v>
      </c>
      <c r="BL986" t="s">
        <v>3632</v>
      </c>
      <c r="BM986" t="s">
        <v>13972</v>
      </c>
      <c r="BN986" t="s">
        <v>74</v>
      </c>
      <c r="BO986" t="s">
        <v>74</v>
      </c>
      <c r="BP986" t="s">
        <v>74</v>
      </c>
      <c r="BQ986" t="s">
        <v>74</v>
      </c>
      <c r="BR986" t="s">
        <v>99</v>
      </c>
      <c r="BS986" t="s">
        <v>13973</v>
      </c>
      <c r="BT986" t="str">
        <f>HYPERLINK("https%3A%2F%2Fwww.webofscience.com%2Fwos%2Fwoscc%2Ffull-record%2FWOS:000185796600002","View Full Record in Web of Science")</f>
        <v>View Full Record in Web of Science</v>
      </c>
    </row>
    <row r="987" spans="1:72" x14ac:dyDescent="0.15">
      <c r="A987" t="s">
        <v>72</v>
      </c>
      <c r="B987" t="s">
        <v>13974</v>
      </c>
      <c r="C987" t="s">
        <v>74</v>
      </c>
      <c r="D987" t="s">
        <v>74</v>
      </c>
      <c r="E987" t="s">
        <v>74</v>
      </c>
      <c r="F987" t="s">
        <v>13974</v>
      </c>
      <c r="G987" t="s">
        <v>74</v>
      </c>
      <c r="H987" t="s">
        <v>74</v>
      </c>
      <c r="I987" t="s">
        <v>13975</v>
      </c>
      <c r="J987" t="s">
        <v>1176</v>
      </c>
      <c r="K987" t="s">
        <v>74</v>
      </c>
      <c r="L987" t="s">
        <v>74</v>
      </c>
      <c r="M987" t="s">
        <v>77</v>
      </c>
      <c r="N987" t="s">
        <v>78</v>
      </c>
      <c r="O987" t="s">
        <v>74</v>
      </c>
      <c r="P987" t="s">
        <v>74</v>
      </c>
      <c r="Q987" t="s">
        <v>74</v>
      </c>
      <c r="R987" t="s">
        <v>74</v>
      </c>
      <c r="S987" t="s">
        <v>74</v>
      </c>
      <c r="T987" t="s">
        <v>13976</v>
      </c>
      <c r="U987" t="s">
        <v>13977</v>
      </c>
      <c r="V987" t="s">
        <v>13978</v>
      </c>
      <c r="W987" t="s">
        <v>13979</v>
      </c>
      <c r="X987" t="s">
        <v>13980</v>
      </c>
      <c r="Y987" t="s">
        <v>13981</v>
      </c>
      <c r="Z987" t="s">
        <v>74</v>
      </c>
      <c r="AA987" t="s">
        <v>74</v>
      </c>
      <c r="AB987" t="s">
        <v>74</v>
      </c>
      <c r="AC987" t="s">
        <v>74</v>
      </c>
      <c r="AD987" t="s">
        <v>74</v>
      </c>
      <c r="AE987" t="s">
        <v>74</v>
      </c>
      <c r="AF987" t="s">
        <v>74</v>
      </c>
      <c r="AG987">
        <v>21</v>
      </c>
      <c r="AH987">
        <v>55</v>
      </c>
      <c r="AI987">
        <v>76</v>
      </c>
      <c r="AJ987">
        <v>4</v>
      </c>
      <c r="AK987">
        <v>45</v>
      </c>
      <c r="AL987" t="s">
        <v>213</v>
      </c>
      <c r="AM987" t="s">
        <v>214</v>
      </c>
      <c r="AN987" t="s">
        <v>215</v>
      </c>
      <c r="AO987" t="s">
        <v>1184</v>
      </c>
      <c r="AP987" t="s">
        <v>74</v>
      </c>
      <c r="AQ987" t="s">
        <v>74</v>
      </c>
      <c r="AR987" t="s">
        <v>1186</v>
      </c>
      <c r="AS987" t="s">
        <v>1187</v>
      </c>
      <c r="AT987" t="s">
        <v>13883</v>
      </c>
      <c r="AU987">
        <v>2003</v>
      </c>
      <c r="AV987">
        <v>136</v>
      </c>
      <c r="AW987">
        <v>2</v>
      </c>
      <c r="AX987" t="s">
        <v>74</v>
      </c>
      <c r="AY987" t="s">
        <v>74</v>
      </c>
      <c r="AZ987" t="s">
        <v>74</v>
      </c>
      <c r="BA987" t="s">
        <v>74</v>
      </c>
      <c r="BB987">
        <v>317</v>
      </c>
      <c r="BC987">
        <v>322</v>
      </c>
      <c r="BD987" t="s">
        <v>74</v>
      </c>
      <c r="BE987" t="s">
        <v>13982</v>
      </c>
      <c r="BF987" t="str">
        <f>HYPERLINK("http://dx.doi.org/10.1016/S1096-4959(03)00209-4","http://dx.doi.org/10.1016/S1096-4959(03)00209-4")</f>
        <v>http://dx.doi.org/10.1016/S1096-4959(03)00209-4</v>
      </c>
      <c r="BG987" t="s">
        <v>74</v>
      </c>
      <c r="BH987" t="s">
        <v>74</v>
      </c>
      <c r="BI987">
        <v>6</v>
      </c>
      <c r="BJ987" t="s">
        <v>1189</v>
      </c>
      <c r="BK987" t="s">
        <v>96</v>
      </c>
      <c r="BL987" t="s">
        <v>1189</v>
      </c>
      <c r="BM987" t="s">
        <v>13983</v>
      </c>
      <c r="BN987">
        <v>14529757</v>
      </c>
      <c r="BO987" t="s">
        <v>74</v>
      </c>
      <c r="BP987" t="s">
        <v>74</v>
      </c>
      <c r="BQ987" t="s">
        <v>74</v>
      </c>
      <c r="BR987" t="s">
        <v>99</v>
      </c>
      <c r="BS987" t="s">
        <v>13984</v>
      </c>
      <c r="BT987" t="str">
        <f>HYPERLINK("https%3A%2F%2Fwww.webofscience.com%2Fwos%2Fwoscc%2Ffull-record%2FWOS:000185879000017","View Full Record in Web of Science")</f>
        <v>View Full Record in Web of Science</v>
      </c>
    </row>
    <row r="988" spans="1:72" x14ac:dyDescent="0.15">
      <c r="A988" t="s">
        <v>72</v>
      </c>
      <c r="B988" t="s">
        <v>13985</v>
      </c>
      <c r="C988" t="s">
        <v>74</v>
      </c>
      <c r="D988" t="s">
        <v>74</v>
      </c>
      <c r="E988" t="s">
        <v>74</v>
      </c>
      <c r="F988" t="s">
        <v>13985</v>
      </c>
      <c r="G988" t="s">
        <v>74</v>
      </c>
      <c r="H988" t="s">
        <v>74</v>
      </c>
      <c r="I988" t="s">
        <v>13986</v>
      </c>
      <c r="J988" t="s">
        <v>13987</v>
      </c>
      <c r="K988" t="s">
        <v>74</v>
      </c>
      <c r="L988" t="s">
        <v>74</v>
      </c>
      <c r="M988" t="s">
        <v>77</v>
      </c>
      <c r="N988" t="s">
        <v>268</v>
      </c>
      <c r="O988" t="s">
        <v>74</v>
      </c>
      <c r="P988" t="s">
        <v>74</v>
      </c>
      <c r="Q988" t="s">
        <v>74</v>
      </c>
      <c r="R988" t="s">
        <v>74</v>
      </c>
      <c r="S988" t="s">
        <v>74</v>
      </c>
      <c r="T988" t="s">
        <v>74</v>
      </c>
      <c r="U988" t="s">
        <v>13988</v>
      </c>
      <c r="V988" t="s">
        <v>13989</v>
      </c>
      <c r="W988" t="s">
        <v>5654</v>
      </c>
      <c r="X988" t="s">
        <v>5655</v>
      </c>
      <c r="Y988" t="s">
        <v>13990</v>
      </c>
      <c r="Z988" t="s">
        <v>74</v>
      </c>
      <c r="AA988" t="s">
        <v>74</v>
      </c>
      <c r="AB988" t="s">
        <v>74</v>
      </c>
      <c r="AC988" t="s">
        <v>74</v>
      </c>
      <c r="AD988" t="s">
        <v>74</v>
      </c>
      <c r="AE988" t="s">
        <v>74</v>
      </c>
      <c r="AF988" t="s">
        <v>74</v>
      </c>
      <c r="AG988">
        <v>160</v>
      </c>
      <c r="AH988">
        <v>5</v>
      </c>
      <c r="AI988">
        <v>5</v>
      </c>
      <c r="AJ988">
        <v>0</v>
      </c>
      <c r="AK988">
        <v>4</v>
      </c>
      <c r="AL988" t="s">
        <v>13991</v>
      </c>
      <c r="AM988" t="s">
        <v>9065</v>
      </c>
      <c r="AN988" t="s">
        <v>9066</v>
      </c>
      <c r="AO988" t="s">
        <v>13992</v>
      </c>
      <c r="AP988" t="s">
        <v>74</v>
      </c>
      <c r="AQ988" t="s">
        <v>74</v>
      </c>
      <c r="AR988" t="s">
        <v>13987</v>
      </c>
      <c r="AS988" t="s">
        <v>13993</v>
      </c>
      <c r="AT988" t="s">
        <v>13883</v>
      </c>
      <c r="AU988">
        <v>2003</v>
      </c>
      <c r="AV988">
        <v>76</v>
      </c>
      <c r="AW988" t="s">
        <v>74</v>
      </c>
      <c r="AX988">
        <v>9</v>
      </c>
      <c r="AY988" t="s">
        <v>74</v>
      </c>
      <c r="AZ988" t="s">
        <v>74</v>
      </c>
      <c r="BA988" t="s">
        <v>74</v>
      </c>
      <c r="BB988">
        <v>1083</v>
      </c>
      <c r="BC988">
        <v>1121</v>
      </c>
      <c r="BD988" t="s">
        <v>74</v>
      </c>
      <c r="BE988" t="s">
        <v>13994</v>
      </c>
      <c r="BF988" t="str">
        <f>HYPERLINK("http://dx.doi.org/10.1163/156854003322753439","http://dx.doi.org/10.1163/156854003322753439")</f>
        <v>http://dx.doi.org/10.1163/156854003322753439</v>
      </c>
      <c r="BG988" t="s">
        <v>74</v>
      </c>
      <c r="BH988" t="s">
        <v>74</v>
      </c>
      <c r="BI988">
        <v>39</v>
      </c>
      <c r="BJ988" t="s">
        <v>1770</v>
      </c>
      <c r="BK988" t="s">
        <v>96</v>
      </c>
      <c r="BL988" t="s">
        <v>1770</v>
      </c>
      <c r="BM988" t="s">
        <v>13995</v>
      </c>
      <c r="BN988" t="s">
        <v>74</v>
      </c>
      <c r="BO988" t="s">
        <v>74</v>
      </c>
      <c r="BP988" t="s">
        <v>74</v>
      </c>
      <c r="BQ988" t="s">
        <v>74</v>
      </c>
      <c r="BR988" t="s">
        <v>99</v>
      </c>
      <c r="BS988" t="s">
        <v>13996</v>
      </c>
      <c r="BT988" t="str">
        <f>HYPERLINK("https%3A%2F%2Fwww.webofscience.com%2Fwos%2Fwoscc%2Ffull-record%2FWOS:000189260900005","View Full Record in Web of Science")</f>
        <v>View Full Record in Web of Science</v>
      </c>
    </row>
    <row r="989" spans="1:72" x14ac:dyDescent="0.15">
      <c r="A989" t="s">
        <v>72</v>
      </c>
      <c r="B989" t="s">
        <v>13997</v>
      </c>
      <c r="C989" t="s">
        <v>74</v>
      </c>
      <c r="D989" t="s">
        <v>74</v>
      </c>
      <c r="E989" t="s">
        <v>74</v>
      </c>
      <c r="F989" t="s">
        <v>13997</v>
      </c>
      <c r="G989" t="s">
        <v>74</v>
      </c>
      <c r="H989" t="s">
        <v>74</v>
      </c>
      <c r="I989" t="s">
        <v>13998</v>
      </c>
      <c r="J989" t="s">
        <v>6918</v>
      </c>
      <c r="K989" t="s">
        <v>74</v>
      </c>
      <c r="L989" t="s">
        <v>74</v>
      </c>
      <c r="M989" t="s">
        <v>77</v>
      </c>
      <c r="N989" t="s">
        <v>78</v>
      </c>
      <c r="O989" t="s">
        <v>74</v>
      </c>
      <c r="P989" t="s">
        <v>74</v>
      </c>
      <c r="Q989" t="s">
        <v>74</v>
      </c>
      <c r="R989" t="s">
        <v>74</v>
      </c>
      <c r="S989" t="s">
        <v>74</v>
      </c>
      <c r="T989" t="s">
        <v>74</v>
      </c>
      <c r="U989" t="s">
        <v>74</v>
      </c>
      <c r="V989" t="s">
        <v>74</v>
      </c>
      <c r="W989" t="s">
        <v>13999</v>
      </c>
      <c r="X989" t="s">
        <v>9261</v>
      </c>
      <c r="Y989" t="s">
        <v>14000</v>
      </c>
      <c r="Z989" t="s">
        <v>74</v>
      </c>
      <c r="AA989" t="s">
        <v>14001</v>
      </c>
      <c r="AB989" t="s">
        <v>74</v>
      </c>
      <c r="AC989" t="s">
        <v>74</v>
      </c>
      <c r="AD989" t="s">
        <v>74</v>
      </c>
      <c r="AE989" t="s">
        <v>74</v>
      </c>
      <c r="AF989" t="s">
        <v>74</v>
      </c>
      <c r="AG989">
        <v>15</v>
      </c>
      <c r="AH989">
        <v>4</v>
      </c>
      <c r="AI989">
        <v>4</v>
      </c>
      <c r="AJ989">
        <v>0</v>
      </c>
      <c r="AK989">
        <v>2</v>
      </c>
      <c r="AL989" t="s">
        <v>1916</v>
      </c>
      <c r="AM989" t="s">
        <v>1917</v>
      </c>
      <c r="AN989" t="s">
        <v>1918</v>
      </c>
      <c r="AO989" t="s">
        <v>6927</v>
      </c>
      <c r="AP989" t="s">
        <v>74</v>
      </c>
      <c r="AQ989" t="s">
        <v>74</v>
      </c>
      <c r="AR989" t="s">
        <v>6929</v>
      </c>
      <c r="AS989" t="s">
        <v>6930</v>
      </c>
      <c r="AT989" t="s">
        <v>14002</v>
      </c>
      <c r="AU989">
        <v>2003</v>
      </c>
      <c r="AV989">
        <v>393</v>
      </c>
      <c r="AW989">
        <v>8</v>
      </c>
      <c r="AX989" t="s">
        <v>74</v>
      </c>
      <c r="AY989" t="s">
        <v>74</v>
      </c>
      <c r="AZ989" t="s">
        <v>74</v>
      </c>
      <c r="BA989" t="s">
        <v>74</v>
      </c>
      <c r="BB989">
        <v>1146</v>
      </c>
      <c r="BC989">
        <v>1150</v>
      </c>
      <c r="BD989" t="s">
        <v>74</v>
      </c>
      <c r="BE989" t="s">
        <v>74</v>
      </c>
      <c r="BF989" t="s">
        <v>74</v>
      </c>
      <c r="BG989" t="s">
        <v>74</v>
      </c>
      <c r="BH989" t="s">
        <v>74</v>
      </c>
      <c r="BI989">
        <v>5</v>
      </c>
      <c r="BJ989" t="s">
        <v>560</v>
      </c>
      <c r="BK989" t="s">
        <v>96</v>
      </c>
      <c r="BL989" t="s">
        <v>561</v>
      </c>
      <c r="BM989" t="s">
        <v>14003</v>
      </c>
      <c r="BN989" t="s">
        <v>74</v>
      </c>
      <c r="BO989" t="s">
        <v>74</v>
      </c>
      <c r="BP989" t="s">
        <v>74</v>
      </c>
      <c r="BQ989" t="s">
        <v>74</v>
      </c>
      <c r="BR989" t="s">
        <v>99</v>
      </c>
      <c r="BS989" t="s">
        <v>14004</v>
      </c>
      <c r="BT989" t="str">
        <f>HYPERLINK("https%3A%2F%2Fwww.webofscience.com%2Fwos%2Fwoscc%2Ffull-record%2FWOS:000186585600020","View Full Record in Web of Science")</f>
        <v>View Full Record in Web of Science</v>
      </c>
    </row>
    <row r="990" spans="1:72" x14ac:dyDescent="0.15">
      <c r="A990" t="s">
        <v>72</v>
      </c>
      <c r="B990" t="s">
        <v>14005</v>
      </c>
      <c r="C990" t="s">
        <v>74</v>
      </c>
      <c r="D990" t="s">
        <v>74</v>
      </c>
      <c r="E990" t="s">
        <v>74</v>
      </c>
      <c r="F990" t="s">
        <v>14005</v>
      </c>
      <c r="G990" t="s">
        <v>74</v>
      </c>
      <c r="H990" t="s">
        <v>74</v>
      </c>
      <c r="I990" t="s">
        <v>14006</v>
      </c>
      <c r="J990" t="s">
        <v>1226</v>
      </c>
      <c r="K990" t="s">
        <v>74</v>
      </c>
      <c r="L990" t="s">
        <v>74</v>
      </c>
      <c r="M990" t="s">
        <v>77</v>
      </c>
      <c r="N990" t="s">
        <v>78</v>
      </c>
      <c r="O990" t="s">
        <v>74</v>
      </c>
      <c r="P990" t="s">
        <v>74</v>
      </c>
      <c r="Q990" t="s">
        <v>74</v>
      </c>
      <c r="R990" t="s">
        <v>74</v>
      </c>
      <c r="S990" t="s">
        <v>74</v>
      </c>
      <c r="T990" t="s">
        <v>74</v>
      </c>
      <c r="U990" t="s">
        <v>14007</v>
      </c>
      <c r="V990" t="s">
        <v>14008</v>
      </c>
      <c r="W990" t="s">
        <v>14009</v>
      </c>
      <c r="X990" t="s">
        <v>14010</v>
      </c>
      <c r="Y990" t="s">
        <v>14011</v>
      </c>
      <c r="Z990" t="s">
        <v>14012</v>
      </c>
      <c r="AA990" t="s">
        <v>14013</v>
      </c>
      <c r="AB990" t="s">
        <v>14014</v>
      </c>
      <c r="AC990" t="s">
        <v>74</v>
      </c>
      <c r="AD990" t="s">
        <v>74</v>
      </c>
      <c r="AE990" t="s">
        <v>74</v>
      </c>
      <c r="AF990" t="s">
        <v>74</v>
      </c>
      <c r="AG990">
        <v>33</v>
      </c>
      <c r="AH990">
        <v>101</v>
      </c>
      <c r="AI990">
        <v>115</v>
      </c>
      <c r="AJ990">
        <v>1</v>
      </c>
      <c r="AK990">
        <v>6</v>
      </c>
      <c r="AL990" t="s">
        <v>177</v>
      </c>
      <c r="AM990" t="s">
        <v>1823</v>
      </c>
      <c r="AN990" t="s">
        <v>1824</v>
      </c>
      <c r="AO990" t="s">
        <v>1237</v>
      </c>
      <c r="AP990" t="s">
        <v>74</v>
      </c>
      <c r="AQ990" t="s">
        <v>74</v>
      </c>
      <c r="AR990" t="s">
        <v>1238</v>
      </c>
      <c r="AS990" t="s">
        <v>1239</v>
      </c>
      <c r="AT990" t="s">
        <v>13883</v>
      </c>
      <c r="AU990">
        <v>2003</v>
      </c>
      <c r="AV990">
        <v>5</v>
      </c>
      <c r="AW990">
        <v>10</v>
      </c>
      <c r="AX990" t="s">
        <v>74</v>
      </c>
      <c r="AY990" t="s">
        <v>74</v>
      </c>
      <c r="AZ990" t="s">
        <v>74</v>
      </c>
      <c r="BA990" t="s">
        <v>74</v>
      </c>
      <c r="BB990">
        <v>842</v>
      </c>
      <c r="BC990">
        <v>849</v>
      </c>
      <c r="BD990" t="s">
        <v>74</v>
      </c>
      <c r="BE990" t="s">
        <v>14015</v>
      </c>
      <c r="BF990" t="str">
        <f>HYPERLINK("http://dx.doi.org/10.1046/j.1462-2920.2003.00493.x","http://dx.doi.org/10.1046/j.1462-2920.2003.00493.x")</f>
        <v>http://dx.doi.org/10.1046/j.1462-2920.2003.00493.x</v>
      </c>
      <c r="BG990" t="s">
        <v>74</v>
      </c>
      <c r="BH990" t="s">
        <v>74</v>
      </c>
      <c r="BI990">
        <v>8</v>
      </c>
      <c r="BJ990" t="s">
        <v>743</v>
      </c>
      <c r="BK990" t="s">
        <v>96</v>
      </c>
      <c r="BL990" t="s">
        <v>743</v>
      </c>
      <c r="BM990" t="s">
        <v>14016</v>
      </c>
      <c r="BN990">
        <v>14510837</v>
      </c>
      <c r="BO990" t="s">
        <v>74</v>
      </c>
      <c r="BP990" t="s">
        <v>74</v>
      </c>
      <c r="BQ990" t="s">
        <v>74</v>
      </c>
      <c r="BR990" t="s">
        <v>99</v>
      </c>
      <c r="BS990" t="s">
        <v>14017</v>
      </c>
      <c r="BT990" t="str">
        <f>HYPERLINK("https%3A%2F%2Fwww.webofscience.com%2Fwos%2Fwoscc%2Ffull-record%2FWOS:000185743500003","View Full Record in Web of Science")</f>
        <v>View Full Record in Web of Science</v>
      </c>
    </row>
    <row r="991" spans="1:72" x14ac:dyDescent="0.15">
      <c r="A991" t="s">
        <v>72</v>
      </c>
      <c r="B991" t="s">
        <v>14018</v>
      </c>
      <c r="C991" t="s">
        <v>74</v>
      </c>
      <c r="D991" t="s">
        <v>74</v>
      </c>
      <c r="E991" t="s">
        <v>74</v>
      </c>
      <c r="F991" t="s">
        <v>14018</v>
      </c>
      <c r="G991" t="s">
        <v>74</v>
      </c>
      <c r="H991" t="s">
        <v>74</v>
      </c>
      <c r="I991" t="s">
        <v>14019</v>
      </c>
      <c r="J991" t="s">
        <v>14020</v>
      </c>
      <c r="K991" t="s">
        <v>74</v>
      </c>
      <c r="L991" t="s">
        <v>74</v>
      </c>
      <c r="M991" t="s">
        <v>77</v>
      </c>
      <c r="N991" t="s">
        <v>78</v>
      </c>
      <c r="O991" t="s">
        <v>74</v>
      </c>
      <c r="P991" t="s">
        <v>74</v>
      </c>
      <c r="Q991" t="s">
        <v>74</v>
      </c>
      <c r="R991" t="s">
        <v>74</v>
      </c>
      <c r="S991" t="s">
        <v>74</v>
      </c>
      <c r="T991" t="s">
        <v>14021</v>
      </c>
      <c r="U991" t="s">
        <v>14022</v>
      </c>
      <c r="V991" t="s">
        <v>14023</v>
      </c>
      <c r="W991" t="s">
        <v>1032</v>
      </c>
      <c r="X991" t="s">
        <v>1033</v>
      </c>
      <c r="Y991" t="s">
        <v>14024</v>
      </c>
      <c r="Z991" t="s">
        <v>14025</v>
      </c>
      <c r="AA991" t="s">
        <v>74</v>
      </c>
      <c r="AB991" t="s">
        <v>14026</v>
      </c>
      <c r="AC991" t="s">
        <v>74</v>
      </c>
      <c r="AD991" t="s">
        <v>74</v>
      </c>
      <c r="AE991" t="s">
        <v>74</v>
      </c>
      <c r="AF991" t="s">
        <v>74</v>
      </c>
      <c r="AG991">
        <v>27</v>
      </c>
      <c r="AH991">
        <v>9</v>
      </c>
      <c r="AI991">
        <v>13</v>
      </c>
      <c r="AJ991">
        <v>0</v>
      </c>
      <c r="AK991">
        <v>3</v>
      </c>
      <c r="AL991" t="s">
        <v>198</v>
      </c>
      <c r="AM991" t="s">
        <v>178</v>
      </c>
      <c r="AN991" t="s">
        <v>179</v>
      </c>
      <c r="AO991" t="s">
        <v>14027</v>
      </c>
      <c r="AP991" t="s">
        <v>74</v>
      </c>
      <c r="AQ991" t="s">
        <v>74</v>
      </c>
      <c r="AR991" t="s">
        <v>14028</v>
      </c>
      <c r="AS991" t="s">
        <v>14029</v>
      </c>
      <c r="AT991" t="s">
        <v>13883</v>
      </c>
      <c r="AU991">
        <v>2003</v>
      </c>
      <c r="AV991">
        <v>270</v>
      </c>
      <c r="AW991">
        <v>19</v>
      </c>
      <c r="AX991" t="s">
        <v>74</v>
      </c>
      <c r="AY991" t="s">
        <v>74</v>
      </c>
      <c r="AZ991" t="s">
        <v>74</v>
      </c>
      <c r="BA991" t="s">
        <v>74</v>
      </c>
      <c r="BB991">
        <v>3981</v>
      </c>
      <c r="BC991">
        <v>3987</v>
      </c>
      <c r="BD991" t="s">
        <v>74</v>
      </c>
      <c r="BE991" t="s">
        <v>14030</v>
      </c>
      <c r="BF991" t="str">
        <f>HYPERLINK("http://dx.doi.org/10.1046/j.1432-1033.2003.03786.x","http://dx.doi.org/10.1046/j.1432-1033.2003.03786.x")</f>
        <v>http://dx.doi.org/10.1046/j.1432-1033.2003.03786.x</v>
      </c>
      <c r="BG991" t="s">
        <v>74</v>
      </c>
      <c r="BH991" t="s">
        <v>74</v>
      </c>
      <c r="BI991">
        <v>7</v>
      </c>
      <c r="BJ991" t="s">
        <v>10211</v>
      </c>
      <c r="BK991" t="s">
        <v>96</v>
      </c>
      <c r="BL991" t="s">
        <v>10211</v>
      </c>
      <c r="BM991" t="s">
        <v>14031</v>
      </c>
      <c r="BN991">
        <v>14511380</v>
      </c>
      <c r="BO991" t="s">
        <v>541</v>
      </c>
      <c r="BP991" t="s">
        <v>74</v>
      </c>
      <c r="BQ991" t="s">
        <v>74</v>
      </c>
      <c r="BR991" t="s">
        <v>99</v>
      </c>
      <c r="BS991" t="s">
        <v>14032</v>
      </c>
      <c r="BT991" t="str">
        <f>HYPERLINK("https%3A%2F%2Fwww.webofscience.com%2Fwos%2Fwoscc%2Ffull-record%2FWOS:000185370100013","View Full Record in Web of Science")</f>
        <v>View Full Record in Web of Science</v>
      </c>
    </row>
    <row r="992" spans="1:72" x14ac:dyDescent="0.15">
      <c r="A992" t="s">
        <v>72</v>
      </c>
      <c r="B992" t="s">
        <v>14033</v>
      </c>
      <c r="C992" t="s">
        <v>74</v>
      </c>
      <c r="D992" t="s">
        <v>74</v>
      </c>
      <c r="E992" t="s">
        <v>74</v>
      </c>
      <c r="F992" t="s">
        <v>14033</v>
      </c>
      <c r="G992" t="s">
        <v>74</v>
      </c>
      <c r="H992" t="s">
        <v>74</v>
      </c>
      <c r="I992" t="s">
        <v>14034</v>
      </c>
      <c r="J992" t="s">
        <v>11392</v>
      </c>
      <c r="K992" t="s">
        <v>74</v>
      </c>
      <c r="L992" t="s">
        <v>74</v>
      </c>
      <c r="M992" t="s">
        <v>77</v>
      </c>
      <c r="N992" t="s">
        <v>78</v>
      </c>
      <c r="O992" t="s">
        <v>74</v>
      </c>
      <c r="P992" t="s">
        <v>74</v>
      </c>
      <c r="Q992" t="s">
        <v>74</v>
      </c>
      <c r="R992" t="s">
        <v>74</v>
      </c>
      <c r="S992" t="s">
        <v>74</v>
      </c>
      <c r="T992" t="s">
        <v>14035</v>
      </c>
      <c r="U992" t="s">
        <v>14036</v>
      </c>
      <c r="V992" t="s">
        <v>14037</v>
      </c>
      <c r="W992" t="s">
        <v>14038</v>
      </c>
      <c r="X992" t="s">
        <v>14039</v>
      </c>
      <c r="Y992" t="s">
        <v>14040</v>
      </c>
      <c r="Z992" t="s">
        <v>14041</v>
      </c>
      <c r="AA992" t="s">
        <v>14042</v>
      </c>
      <c r="AB992" t="s">
        <v>14043</v>
      </c>
      <c r="AC992" t="s">
        <v>74</v>
      </c>
      <c r="AD992" t="s">
        <v>74</v>
      </c>
      <c r="AE992" t="s">
        <v>74</v>
      </c>
      <c r="AF992" t="s">
        <v>74</v>
      </c>
      <c r="AG992">
        <v>27</v>
      </c>
      <c r="AH992">
        <v>13</v>
      </c>
      <c r="AI992">
        <v>14</v>
      </c>
      <c r="AJ992">
        <v>2</v>
      </c>
      <c r="AK992">
        <v>12</v>
      </c>
      <c r="AL992" t="s">
        <v>8110</v>
      </c>
      <c r="AM992" t="s">
        <v>1721</v>
      </c>
      <c r="AN992" t="s">
        <v>11402</v>
      </c>
      <c r="AO992" t="s">
        <v>11403</v>
      </c>
      <c r="AP992" t="s">
        <v>11404</v>
      </c>
      <c r="AQ992" t="s">
        <v>74</v>
      </c>
      <c r="AR992" t="s">
        <v>11392</v>
      </c>
      <c r="AS992" t="s">
        <v>11405</v>
      </c>
      <c r="AT992" t="s">
        <v>13883</v>
      </c>
      <c r="AU992">
        <v>2003</v>
      </c>
      <c r="AV992">
        <v>7</v>
      </c>
      <c r="AW992">
        <v>5</v>
      </c>
      <c r="AX992" t="s">
        <v>74</v>
      </c>
      <c r="AY992" t="s">
        <v>74</v>
      </c>
      <c r="AZ992" t="s">
        <v>74</v>
      </c>
      <c r="BA992" t="s">
        <v>74</v>
      </c>
      <c r="BB992">
        <v>385</v>
      </c>
      <c r="BC992">
        <v>390</v>
      </c>
      <c r="BD992" t="s">
        <v>74</v>
      </c>
      <c r="BE992" t="s">
        <v>14044</v>
      </c>
      <c r="BF992" t="str">
        <f>HYPERLINK("http://dx.doi.org/10.1007/s00792-003-0338-3","http://dx.doi.org/10.1007/s00792-003-0338-3")</f>
        <v>http://dx.doi.org/10.1007/s00792-003-0338-3</v>
      </c>
      <c r="BG992" t="s">
        <v>74</v>
      </c>
      <c r="BH992" t="s">
        <v>74</v>
      </c>
      <c r="BI992">
        <v>6</v>
      </c>
      <c r="BJ992" t="s">
        <v>3116</v>
      </c>
      <c r="BK992" t="s">
        <v>96</v>
      </c>
      <c r="BL992" t="s">
        <v>3116</v>
      </c>
      <c r="BM992" t="s">
        <v>14045</v>
      </c>
      <c r="BN992">
        <v>12884086</v>
      </c>
      <c r="BO992" t="s">
        <v>74</v>
      </c>
      <c r="BP992" t="s">
        <v>74</v>
      </c>
      <c r="BQ992" t="s">
        <v>74</v>
      </c>
      <c r="BR992" t="s">
        <v>99</v>
      </c>
      <c r="BS992" t="s">
        <v>14046</v>
      </c>
      <c r="BT992" t="str">
        <f>HYPERLINK("https%3A%2F%2Fwww.webofscience.com%2Fwos%2Fwoscc%2Ffull-record%2FWOS:000186179400007","View Full Record in Web of Science")</f>
        <v>View Full Record in Web of Science</v>
      </c>
    </row>
    <row r="993" spans="1:72" x14ac:dyDescent="0.15">
      <c r="A993" t="s">
        <v>72</v>
      </c>
      <c r="B993" t="s">
        <v>14047</v>
      </c>
      <c r="C993" t="s">
        <v>74</v>
      </c>
      <c r="D993" t="s">
        <v>74</v>
      </c>
      <c r="E993" t="s">
        <v>74</v>
      </c>
      <c r="F993" t="s">
        <v>14047</v>
      </c>
      <c r="G993" t="s">
        <v>74</v>
      </c>
      <c r="H993" t="s">
        <v>74</v>
      </c>
      <c r="I993" t="s">
        <v>14048</v>
      </c>
      <c r="J993" t="s">
        <v>2932</v>
      </c>
      <c r="K993" t="s">
        <v>74</v>
      </c>
      <c r="L993" t="s">
        <v>74</v>
      </c>
      <c r="M993" t="s">
        <v>77</v>
      </c>
      <c r="N993" t="s">
        <v>14049</v>
      </c>
      <c r="O993" t="s">
        <v>74</v>
      </c>
      <c r="P993" t="s">
        <v>74</v>
      </c>
      <c r="Q993" t="s">
        <v>74</v>
      </c>
      <c r="R993" t="s">
        <v>74</v>
      </c>
      <c r="S993" t="s">
        <v>74</v>
      </c>
      <c r="T993" t="s">
        <v>74</v>
      </c>
      <c r="U993" t="s">
        <v>14050</v>
      </c>
      <c r="V993" t="s">
        <v>14051</v>
      </c>
      <c r="W993" t="s">
        <v>14052</v>
      </c>
      <c r="X993" t="s">
        <v>14053</v>
      </c>
      <c r="Y993" t="s">
        <v>12322</v>
      </c>
      <c r="Z993" t="s">
        <v>14054</v>
      </c>
      <c r="AA993" t="s">
        <v>74</v>
      </c>
      <c r="AB993" t="s">
        <v>74</v>
      </c>
      <c r="AC993" t="s">
        <v>74</v>
      </c>
      <c r="AD993" t="s">
        <v>74</v>
      </c>
      <c r="AE993" t="s">
        <v>74</v>
      </c>
      <c r="AF993" t="s">
        <v>74</v>
      </c>
      <c r="AG993">
        <v>33</v>
      </c>
      <c r="AH993">
        <v>9</v>
      </c>
      <c r="AI993">
        <v>11</v>
      </c>
      <c r="AJ993">
        <v>0</v>
      </c>
      <c r="AK993">
        <v>10</v>
      </c>
      <c r="AL993" t="s">
        <v>86</v>
      </c>
      <c r="AM993" t="s">
        <v>87</v>
      </c>
      <c r="AN993" t="s">
        <v>2007</v>
      </c>
      <c r="AO993" t="s">
        <v>2940</v>
      </c>
      <c r="AP993" t="s">
        <v>2941</v>
      </c>
      <c r="AQ993" t="s">
        <v>74</v>
      </c>
      <c r="AR993" t="s">
        <v>2942</v>
      </c>
      <c r="AS993" t="s">
        <v>2943</v>
      </c>
      <c r="AT993" t="s">
        <v>13883</v>
      </c>
      <c r="AU993">
        <v>2003</v>
      </c>
      <c r="AV993">
        <v>23</v>
      </c>
      <c r="AW993">
        <v>2</v>
      </c>
      <c r="AX993" t="s">
        <v>74</v>
      </c>
      <c r="AY993" t="s">
        <v>74</v>
      </c>
      <c r="AZ993" t="s">
        <v>74</v>
      </c>
      <c r="BA993" t="s">
        <v>74</v>
      </c>
      <c r="BB993">
        <v>110</v>
      </c>
      <c r="BC993">
        <v>116</v>
      </c>
      <c r="BD993" t="s">
        <v>74</v>
      </c>
      <c r="BE993" t="s">
        <v>14055</v>
      </c>
      <c r="BF993" t="str">
        <f>HYPERLINK("http://dx.doi.org/10.1007/s00367-003-0129-y","http://dx.doi.org/10.1007/s00367-003-0129-y")</f>
        <v>http://dx.doi.org/10.1007/s00367-003-0129-y</v>
      </c>
      <c r="BG993" t="s">
        <v>74</v>
      </c>
      <c r="BH993" t="s">
        <v>74</v>
      </c>
      <c r="BI993">
        <v>7</v>
      </c>
      <c r="BJ993" t="s">
        <v>2161</v>
      </c>
      <c r="BK993" t="s">
        <v>96</v>
      </c>
      <c r="BL993" t="s">
        <v>2162</v>
      </c>
      <c r="BM993" t="s">
        <v>14056</v>
      </c>
      <c r="BN993" t="s">
        <v>74</v>
      </c>
      <c r="BO993" t="s">
        <v>74</v>
      </c>
      <c r="BP993" t="s">
        <v>74</v>
      </c>
      <c r="BQ993" t="s">
        <v>74</v>
      </c>
      <c r="BR993" t="s">
        <v>99</v>
      </c>
      <c r="BS993" t="s">
        <v>14057</v>
      </c>
      <c r="BT993" t="str">
        <f>HYPERLINK("https%3A%2F%2Fwww.webofscience.com%2Fwos%2Fwoscc%2Ffull-record%2FWOS:000186482500004","View Full Record in Web of Science")</f>
        <v>View Full Record in Web of Science</v>
      </c>
    </row>
    <row r="994" spans="1:72" x14ac:dyDescent="0.15">
      <c r="A994" t="s">
        <v>72</v>
      </c>
      <c r="B994" t="s">
        <v>14058</v>
      </c>
      <c r="C994" t="s">
        <v>74</v>
      </c>
      <c r="D994" t="s">
        <v>74</v>
      </c>
      <c r="E994" t="s">
        <v>74</v>
      </c>
      <c r="F994" t="s">
        <v>14058</v>
      </c>
      <c r="G994" t="s">
        <v>74</v>
      </c>
      <c r="H994" t="s">
        <v>74</v>
      </c>
      <c r="I994" t="s">
        <v>14059</v>
      </c>
      <c r="J994" t="s">
        <v>1287</v>
      </c>
      <c r="K994" t="s">
        <v>74</v>
      </c>
      <c r="L994" t="s">
        <v>74</v>
      </c>
      <c r="M994" t="s">
        <v>77</v>
      </c>
      <c r="N994" t="s">
        <v>78</v>
      </c>
      <c r="O994" t="s">
        <v>74</v>
      </c>
      <c r="P994" t="s">
        <v>74</v>
      </c>
      <c r="Q994" t="s">
        <v>74</v>
      </c>
      <c r="R994" t="s">
        <v>74</v>
      </c>
      <c r="S994" t="s">
        <v>74</v>
      </c>
      <c r="T994" t="s">
        <v>74</v>
      </c>
      <c r="U994" t="s">
        <v>14060</v>
      </c>
      <c r="V994" t="s">
        <v>14061</v>
      </c>
      <c r="W994" t="s">
        <v>14062</v>
      </c>
      <c r="X994" t="s">
        <v>14063</v>
      </c>
      <c r="Y994" t="s">
        <v>14064</v>
      </c>
      <c r="Z994" t="s">
        <v>14065</v>
      </c>
      <c r="AA994" t="s">
        <v>14066</v>
      </c>
      <c r="AB994" t="s">
        <v>14067</v>
      </c>
      <c r="AC994" t="s">
        <v>74</v>
      </c>
      <c r="AD994" t="s">
        <v>74</v>
      </c>
      <c r="AE994" t="s">
        <v>74</v>
      </c>
      <c r="AF994" t="s">
        <v>74</v>
      </c>
      <c r="AG994">
        <v>76</v>
      </c>
      <c r="AH994">
        <v>160</v>
      </c>
      <c r="AI994">
        <v>170</v>
      </c>
      <c r="AJ994">
        <v>0</v>
      </c>
      <c r="AK994">
        <v>32</v>
      </c>
      <c r="AL994" t="s">
        <v>213</v>
      </c>
      <c r="AM994" t="s">
        <v>214</v>
      </c>
      <c r="AN994" t="s">
        <v>215</v>
      </c>
      <c r="AO994" t="s">
        <v>1294</v>
      </c>
      <c r="AP994" t="s">
        <v>1295</v>
      </c>
      <c r="AQ994" t="s">
        <v>74</v>
      </c>
      <c r="AR994" t="s">
        <v>1296</v>
      </c>
      <c r="AS994" t="s">
        <v>1297</v>
      </c>
      <c r="AT994" t="s">
        <v>13883</v>
      </c>
      <c r="AU994">
        <v>2003</v>
      </c>
      <c r="AV994">
        <v>67</v>
      </c>
      <c r="AW994">
        <v>19</v>
      </c>
      <c r="AX994" t="s">
        <v>74</v>
      </c>
      <c r="AY994" t="s">
        <v>74</v>
      </c>
      <c r="AZ994" t="s">
        <v>74</v>
      </c>
      <c r="BA994" t="s">
        <v>74</v>
      </c>
      <c r="BB994">
        <v>3603</v>
      </c>
      <c r="BC994">
        <v>3623</v>
      </c>
      <c r="BD994" t="s">
        <v>74</v>
      </c>
      <c r="BE994" t="s">
        <v>14068</v>
      </c>
      <c r="BF994" t="str">
        <f>HYPERLINK("http://dx.doi.org/10.1016/S0016-7037(03)00211-4","http://dx.doi.org/10.1016/S0016-7037(03)00211-4")</f>
        <v>http://dx.doi.org/10.1016/S0016-7037(03)00211-4</v>
      </c>
      <c r="BG994" t="s">
        <v>74</v>
      </c>
      <c r="BH994" t="s">
        <v>74</v>
      </c>
      <c r="BI994">
        <v>21</v>
      </c>
      <c r="BJ994" t="s">
        <v>262</v>
      </c>
      <c r="BK994" t="s">
        <v>96</v>
      </c>
      <c r="BL994" t="s">
        <v>262</v>
      </c>
      <c r="BM994" t="s">
        <v>14069</v>
      </c>
      <c r="BN994" t="s">
        <v>74</v>
      </c>
      <c r="BO994" t="s">
        <v>74</v>
      </c>
      <c r="BP994" t="s">
        <v>74</v>
      </c>
      <c r="BQ994" t="s">
        <v>74</v>
      </c>
      <c r="BR994" t="s">
        <v>99</v>
      </c>
      <c r="BS994" t="s">
        <v>14070</v>
      </c>
      <c r="BT994" t="str">
        <f>HYPERLINK("https%3A%2F%2Fwww.webofscience.com%2Fwos%2Fwoscc%2Ffull-record%2FWOS:000185734600007","View Full Record in Web of Science")</f>
        <v>View Full Record in Web of Science</v>
      </c>
    </row>
    <row r="995" spans="1:72" x14ac:dyDescent="0.15">
      <c r="A995" t="s">
        <v>72</v>
      </c>
      <c r="B995" t="s">
        <v>14071</v>
      </c>
      <c r="C995" t="s">
        <v>74</v>
      </c>
      <c r="D995" t="s">
        <v>74</v>
      </c>
      <c r="E995" t="s">
        <v>74</v>
      </c>
      <c r="F995" t="s">
        <v>14071</v>
      </c>
      <c r="G995" t="s">
        <v>74</v>
      </c>
      <c r="H995" t="s">
        <v>74</v>
      </c>
      <c r="I995" t="s">
        <v>14072</v>
      </c>
      <c r="J995" t="s">
        <v>11482</v>
      </c>
      <c r="K995" t="s">
        <v>74</v>
      </c>
      <c r="L995" t="s">
        <v>74</v>
      </c>
      <c r="M995" t="s">
        <v>77</v>
      </c>
      <c r="N995" t="s">
        <v>78</v>
      </c>
      <c r="O995" t="s">
        <v>74</v>
      </c>
      <c r="P995" t="s">
        <v>74</v>
      </c>
      <c r="Q995" t="s">
        <v>74</v>
      </c>
      <c r="R995" t="s">
        <v>74</v>
      </c>
      <c r="S995" t="s">
        <v>74</v>
      </c>
      <c r="T995" t="s">
        <v>14073</v>
      </c>
      <c r="U995" t="s">
        <v>14074</v>
      </c>
      <c r="V995" t="s">
        <v>14075</v>
      </c>
      <c r="W995" t="s">
        <v>14076</v>
      </c>
      <c r="X995" t="s">
        <v>14077</v>
      </c>
      <c r="Y995" t="s">
        <v>14078</v>
      </c>
      <c r="Z995" t="s">
        <v>14079</v>
      </c>
      <c r="AA995" t="s">
        <v>14080</v>
      </c>
      <c r="AB995" t="s">
        <v>14081</v>
      </c>
      <c r="AC995" t="s">
        <v>74</v>
      </c>
      <c r="AD995" t="s">
        <v>74</v>
      </c>
      <c r="AE995" t="s">
        <v>74</v>
      </c>
      <c r="AF995" t="s">
        <v>74</v>
      </c>
      <c r="AG995">
        <v>47</v>
      </c>
      <c r="AH995">
        <v>95</v>
      </c>
      <c r="AI995">
        <v>124</v>
      </c>
      <c r="AJ995">
        <v>4</v>
      </c>
      <c r="AK995">
        <v>54</v>
      </c>
      <c r="AL995" t="s">
        <v>198</v>
      </c>
      <c r="AM995" t="s">
        <v>178</v>
      </c>
      <c r="AN995" t="s">
        <v>179</v>
      </c>
      <c r="AO995" t="s">
        <v>11491</v>
      </c>
      <c r="AP995" t="s">
        <v>11492</v>
      </c>
      <c r="AQ995" t="s">
        <v>74</v>
      </c>
      <c r="AR995" t="s">
        <v>11493</v>
      </c>
      <c r="AS995" t="s">
        <v>11494</v>
      </c>
      <c r="AT995" t="s">
        <v>13883</v>
      </c>
      <c r="AU995">
        <v>2003</v>
      </c>
      <c r="AV995">
        <v>9</v>
      </c>
      <c r="AW995">
        <v>10</v>
      </c>
      <c r="AX995" t="s">
        <v>74</v>
      </c>
      <c r="AY995" t="s">
        <v>74</v>
      </c>
      <c r="AZ995" t="s">
        <v>74</v>
      </c>
      <c r="BA995" t="s">
        <v>74</v>
      </c>
      <c r="BB995">
        <v>1465</v>
      </c>
      <c r="BC995">
        <v>1474</v>
      </c>
      <c r="BD995" t="s">
        <v>74</v>
      </c>
      <c r="BE995" t="s">
        <v>14082</v>
      </c>
      <c r="BF995" t="str">
        <f>HYPERLINK("http://dx.doi.org/10.1046/j.1365-2486.2003.00667.x","http://dx.doi.org/10.1046/j.1365-2486.2003.00667.x")</f>
        <v>http://dx.doi.org/10.1046/j.1365-2486.2003.00667.x</v>
      </c>
      <c r="BG995" t="s">
        <v>74</v>
      </c>
      <c r="BH995" t="s">
        <v>74</v>
      </c>
      <c r="BI995">
        <v>10</v>
      </c>
      <c r="BJ995" t="s">
        <v>11496</v>
      </c>
      <c r="BK995" t="s">
        <v>96</v>
      </c>
      <c r="BL995" t="s">
        <v>97</v>
      </c>
      <c r="BM995" t="s">
        <v>14083</v>
      </c>
      <c r="BN995" t="s">
        <v>74</v>
      </c>
      <c r="BO995" t="s">
        <v>74</v>
      </c>
      <c r="BP995" t="s">
        <v>74</v>
      </c>
      <c r="BQ995" t="s">
        <v>74</v>
      </c>
      <c r="BR995" t="s">
        <v>99</v>
      </c>
      <c r="BS995" t="s">
        <v>14084</v>
      </c>
      <c r="BT995" t="str">
        <f>HYPERLINK("https%3A%2F%2Fwww.webofscience.com%2Fwos%2Fwoscc%2Ffull-record%2FWOS:000185841900011","View Full Record in Web of Science")</f>
        <v>View Full Record in Web of Science</v>
      </c>
    </row>
    <row r="996" spans="1:72" x14ac:dyDescent="0.15">
      <c r="A996" t="s">
        <v>72</v>
      </c>
      <c r="B996" t="s">
        <v>14085</v>
      </c>
      <c r="C996" t="s">
        <v>74</v>
      </c>
      <c r="D996" t="s">
        <v>74</v>
      </c>
      <c r="E996" t="s">
        <v>74</v>
      </c>
      <c r="F996" t="s">
        <v>14085</v>
      </c>
      <c r="G996" t="s">
        <v>74</v>
      </c>
      <c r="H996" t="s">
        <v>74</v>
      </c>
      <c r="I996" t="s">
        <v>14086</v>
      </c>
      <c r="J996" t="s">
        <v>14087</v>
      </c>
      <c r="K996" t="s">
        <v>74</v>
      </c>
      <c r="L996" t="s">
        <v>74</v>
      </c>
      <c r="M996" t="s">
        <v>77</v>
      </c>
      <c r="N996" t="s">
        <v>78</v>
      </c>
      <c r="O996" t="s">
        <v>74</v>
      </c>
      <c r="P996" t="s">
        <v>74</v>
      </c>
      <c r="Q996" t="s">
        <v>74</v>
      </c>
      <c r="R996" t="s">
        <v>74</v>
      </c>
      <c r="S996" t="s">
        <v>74</v>
      </c>
      <c r="T996" t="s">
        <v>74</v>
      </c>
      <c r="U996" t="s">
        <v>14088</v>
      </c>
      <c r="V996" t="s">
        <v>14089</v>
      </c>
      <c r="W996" t="s">
        <v>14090</v>
      </c>
      <c r="X996" t="s">
        <v>14091</v>
      </c>
      <c r="Y996" t="s">
        <v>14092</v>
      </c>
      <c r="Z996" t="s">
        <v>74</v>
      </c>
      <c r="AA996" t="s">
        <v>13906</v>
      </c>
      <c r="AB996" t="s">
        <v>13907</v>
      </c>
      <c r="AC996" t="s">
        <v>74</v>
      </c>
      <c r="AD996" t="s">
        <v>74</v>
      </c>
      <c r="AE996" t="s">
        <v>74</v>
      </c>
      <c r="AF996" t="s">
        <v>74</v>
      </c>
      <c r="AG996">
        <v>68</v>
      </c>
      <c r="AH996">
        <v>70</v>
      </c>
      <c r="AI996">
        <v>79</v>
      </c>
      <c r="AJ996">
        <v>0</v>
      </c>
      <c r="AK996">
        <v>23</v>
      </c>
      <c r="AL996" t="s">
        <v>1235</v>
      </c>
      <c r="AM996" t="s">
        <v>214</v>
      </c>
      <c r="AN996" t="s">
        <v>1236</v>
      </c>
      <c r="AO996" t="s">
        <v>14093</v>
      </c>
      <c r="AP996" t="s">
        <v>74</v>
      </c>
      <c r="AQ996" t="s">
        <v>74</v>
      </c>
      <c r="AR996" t="s">
        <v>14087</v>
      </c>
      <c r="AS996" t="s">
        <v>14094</v>
      </c>
      <c r="AT996" t="s">
        <v>13883</v>
      </c>
      <c r="AU996">
        <v>2003</v>
      </c>
      <c r="AV996">
        <v>145</v>
      </c>
      <c r="AW996">
        <v>4</v>
      </c>
      <c r="AX996" t="s">
        <v>74</v>
      </c>
      <c r="AY996" t="s">
        <v>74</v>
      </c>
      <c r="AZ996" t="s">
        <v>74</v>
      </c>
      <c r="BA996" t="s">
        <v>74</v>
      </c>
      <c r="BB996">
        <v>593</v>
      </c>
      <c r="BC996">
        <v>610</v>
      </c>
      <c r="BD996" t="s">
        <v>74</v>
      </c>
      <c r="BE996" t="s">
        <v>14095</v>
      </c>
      <c r="BF996" t="str">
        <f>HYPERLINK("http://dx.doi.org/10.1046/j.1474-919X.2003.00196.x","http://dx.doi.org/10.1046/j.1474-919X.2003.00196.x")</f>
        <v>http://dx.doi.org/10.1046/j.1474-919X.2003.00196.x</v>
      </c>
      <c r="BG996" t="s">
        <v>74</v>
      </c>
      <c r="BH996" t="s">
        <v>74</v>
      </c>
      <c r="BI996">
        <v>18</v>
      </c>
      <c r="BJ996" t="s">
        <v>1553</v>
      </c>
      <c r="BK996" t="s">
        <v>96</v>
      </c>
      <c r="BL996" t="s">
        <v>331</v>
      </c>
      <c r="BM996" t="s">
        <v>14096</v>
      </c>
      <c r="BN996" t="s">
        <v>74</v>
      </c>
      <c r="BO996" t="s">
        <v>74</v>
      </c>
      <c r="BP996" t="s">
        <v>74</v>
      </c>
      <c r="BQ996" t="s">
        <v>74</v>
      </c>
      <c r="BR996" t="s">
        <v>99</v>
      </c>
      <c r="BS996" t="s">
        <v>14097</v>
      </c>
      <c r="BT996" t="str">
        <f>HYPERLINK("https%3A%2F%2Fwww.webofscience.com%2Fwos%2Fwoscc%2Ffull-record%2FWOS:000185657700006","View Full Record in Web of Science")</f>
        <v>View Full Record in Web of Science</v>
      </c>
    </row>
    <row r="997" spans="1:72" x14ac:dyDescent="0.15">
      <c r="A997" t="s">
        <v>72</v>
      </c>
      <c r="B997" t="s">
        <v>14098</v>
      </c>
      <c r="C997" t="s">
        <v>74</v>
      </c>
      <c r="D997" t="s">
        <v>74</v>
      </c>
      <c r="E997" t="s">
        <v>74</v>
      </c>
      <c r="F997" t="s">
        <v>14098</v>
      </c>
      <c r="G997" t="s">
        <v>74</v>
      </c>
      <c r="H997" t="s">
        <v>74</v>
      </c>
      <c r="I997" t="s">
        <v>14099</v>
      </c>
      <c r="J997" t="s">
        <v>3007</v>
      </c>
      <c r="K997" t="s">
        <v>74</v>
      </c>
      <c r="L997" t="s">
        <v>74</v>
      </c>
      <c r="M997" t="s">
        <v>77</v>
      </c>
      <c r="N997" t="s">
        <v>78</v>
      </c>
      <c r="O997" t="s">
        <v>74</v>
      </c>
      <c r="P997" t="s">
        <v>74</v>
      </c>
      <c r="Q997" t="s">
        <v>74</v>
      </c>
      <c r="R997" t="s">
        <v>74</v>
      </c>
      <c r="S997" t="s">
        <v>74</v>
      </c>
      <c r="T997" t="s">
        <v>14100</v>
      </c>
      <c r="U997" t="s">
        <v>14101</v>
      </c>
      <c r="V997" t="s">
        <v>14102</v>
      </c>
      <c r="W997" t="s">
        <v>14103</v>
      </c>
      <c r="X997" t="s">
        <v>14104</v>
      </c>
      <c r="Y997" t="s">
        <v>14105</v>
      </c>
      <c r="Z997" t="s">
        <v>14106</v>
      </c>
      <c r="AA997" t="s">
        <v>14107</v>
      </c>
      <c r="AB997" t="s">
        <v>14108</v>
      </c>
      <c r="AC997" t="s">
        <v>74</v>
      </c>
      <c r="AD997" t="s">
        <v>74</v>
      </c>
      <c r="AE997" t="s">
        <v>74</v>
      </c>
      <c r="AF997" t="s">
        <v>74</v>
      </c>
      <c r="AG997">
        <v>85</v>
      </c>
      <c r="AH997">
        <v>51</v>
      </c>
      <c r="AI997">
        <v>53</v>
      </c>
      <c r="AJ997">
        <v>0</v>
      </c>
      <c r="AK997">
        <v>14</v>
      </c>
      <c r="AL997" t="s">
        <v>277</v>
      </c>
      <c r="AM997" t="s">
        <v>214</v>
      </c>
      <c r="AN997" t="s">
        <v>278</v>
      </c>
      <c r="AO997" t="s">
        <v>3012</v>
      </c>
      <c r="AP997" t="s">
        <v>14109</v>
      </c>
      <c r="AQ997" t="s">
        <v>74</v>
      </c>
      <c r="AR997" t="s">
        <v>3013</v>
      </c>
      <c r="AS997" t="s">
        <v>3014</v>
      </c>
      <c r="AT997" t="s">
        <v>13883</v>
      </c>
      <c r="AU997">
        <v>2003</v>
      </c>
      <c r="AV997">
        <v>60</v>
      </c>
      <c r="AW997">
        <v>5</v>
      </c>
      <c r="AX997" t="s">
        <v>74</v>
      </c>
      <c r="AY997" t="s">
        <v>74</v>
      </c>
      <c r="AZ997" t="s">
        <v>74</v>
      </c>
      <c r="BA997" t="s">
        <v>74</v>
      </c>
      <c r="BB997">
        <v>990</v>
      </c>
      <c r="BC997">
        <v>1002</v>
      </c>
      <c r="BD997" t="s">
        <v>74</v>
      </c>
      <c r="BE997" t="s">
        <v>14110</v>
      </c>
      <c r="BF997" t="str">
        <f>HYPERLINK("http://dx.doi.org/10.1016/S1054-3139(03)00101-2","http://dx.doi.org/10.1016/S1054-3139(03)00101-2")</f>
        <v>http://dx.doi.org/10.1016/S1054-3139(03)00101-2</v>
      </c>
      <c r="BG997" t="s">
        <v>74</v>
      </c>
      <c r="BH997" t="s">
        <v>74</v>
      </c>
      <c r="BI997">
        <v>13</v>
      </c>
      <c r="BJ997" t="s">
        <v>3016</v>
      </c>
      <c r="BK997" t="s">
        <v>96</v>
      </c>
      <c r="BL997" t="s">
        <v>3016</v>
      </c>
      <c r="BM997" t="s">
        <v>14111</v>
      </c>
      <c r="BN997" t="s">
        <v>74</v>
      </c>
      <c r="BO997" t="s">
        <v>74</v>
      </c>
      <c r="BP997" t="s">
        <v>74</v>
      </c>
      <c r="BQ997" t="s">
        <v>74</v>
      </c>
      <c r="BR997" t="s">
        <v>99</v>
      </c>
      <c r="BS997" t="s">
        <v>14112</v>
      </c>
      <c r="BT997" t="str">
        <f>HYPERLINK("https%3A%2F%2Fwww.webofscience.com%2Fwos%2Fwoscc%2Ffull-record%2FWOS:000185428200007","View Full Record in Web of Science")</f>
        <v>View Full Record in Web of Science</v>
      </c>
    </row>
    <row r="998" spans="1:72" x14ac:dyDescent="0.15">
      <c r="A998" t="s">
        <v>72</v>
      </c>
      <c r="B998" t="s">
        <v>14113</v>
      </c>
      <c r="C998" t="s">
        <v>74</v>
      </c>
      <c r="D998" t="s">
        <v>74</v>
      </c>
      <c r="E998" t="s">
        <v>74</v>
      </c>
      <c r="F998" t="s">
        <v>14113</v>
      </c>
      <c r="G998" t="s">
        <v>74</v>
      </c>
      <c r="H998" t="s">
        <v>74</v>
      </c>
      <c r="I998" t="s">
        <v>14114</v>
      </c>
      <c r="J998" t="s">
        <v>14115</v>
      </c>
      <c r="K998" t="s">
        <v>74</v>
      </c>
      <c r="L998" t="s">
        <v>74</v>
      </c>
      <c r="M998" t="s">
        <v>77</v>
      </c>
      <c r="N998" t="s">
        <v>78</v>
      </c>
      <c r="O998" t="s">
        <v>74</v>
      </c>
      <c r="P998" t="s">
        <v>74</v>
      </c>
      <c r="Q998" t="s">
        <v>74</v>
      </c>
      <c r="R998" t="s">
        <v>74</v>
      </c>
      <c r="S998" t="s">
        <v>74</v>
      </c>
      <c r="T998" t="s">
        <v>14116</v>
      </c>
      <c r="U998" t="s">
        <v>14117</v>
      </c>
      <c r="V998" t="s">
        <v>14118</v>
      </c>
      <c r="W998" t="s">
        <v>14119</v>
      </c>
      <c r="X998" t="s">
        <v>14120</v>
      </c>
      <c r="Y998" t="s">
        <v>14121</v>
      </c>
      <c r="Z998" t="s">
        <v>74</v>
      </c>
      <c r="AA998" t="s">
        <v>74</v>
      </c>
      <c r="AB998" t="s">
        <v>74</v>
      </c>
      <c r="AC998" t="s">
        <v>74</v>
      </c>
      <c r="AD998" t="s">
        <v>74</v>
      </c>
      <c r="AE998" t="s">
        <v>74</v>
      </c>
      <c r="AF998" t="s">
        <v>74</v>
      </c>
      <c r="AG998">
        <v>25</v>
      </c>
      <c r="AH998">
        <v>9</v>
      </c>
      <c r="AI998">
        <v>10</v>
      </c>
      <c r="AJ998">
        <v>0</v>
      </c>
      <c r="AK998">
        <v>9</v>
      </c>
      <c r="AL998" t="s">
        <v>14122</v>
      </c>
      <c r="AM998" t="s">
        <v>14123</v>
      </c>
      <c r="AN998" t="s">
        <v>14124</v>
      </c>
      <c r="AO998" t="s">
        <v>14125</v>
      </c>
      <c r="AP998" t="s">
        <v>74</v>
      </c>
      <c r="AQ998" t="s">
        <v>74</v>
      </c>
      <c r="AR998" t="s">
        <v>14126</v>
      </c>
      <c r="AS998" t="s">
        <v>14127</v>
      </c>
      <c r="AT998" t="s">
        <v>13883</v>
      </c>
      <c r="AU998">
        <v>2003</v>
      </c>
      <c r="AV998">
        <v>40</v>
      </c>
      <c r="AW998">
        <v>5</v>
      </c>
      <c r="AX998" t="s">
        <v>74</v>
      </c>
      <c r="AY998" t="s">
        <v>74</v>
      </c>
      <c r="AZ998" t="s">
        <v>74</v>
      </c>
      <c r="BA998" t="s">
        <v>74</v>
      </c>
      <c r="BB998">
        <v>362</v>
      </c>
      <c r="BC998">
        <v>366</v>
      </c>
      <c r="BD998" t="s">
        <v>74</v>
      </c>
      <c r="BE998" t="s">
        <v>74</v>
      </c>
      <c r="BF998" t="s">
        <v>74</v>
      </c>
      <c r="BG998" t="s">
        <v>74</v>
      </c>
      <c r="BH998" t="s">
        <v>74</v>
      </c>
      <c r="BI998">
        <v>5</v>
      </c>
      <c r="BJ998" t="s">
        <v>3852</v>
      </c>
      <c r="BK998" t="s">
        <v>96</v>
      </c>
      <c r="BL998" t="s">
        <v>3852</v>
      </c>
      <c r="BM998" t="s">
        <v>14128</v>
      </c>
      <c r="BN998">
        <v>22900332</v>
      </c>
      <c r="BO998" t="s">
        <v>74</v>
      </c>
      <c r="BP998" t="s">
        <v>74</v>
      </c>
      <c r="BQ998" t="s">
        <v>74</v>
      </c>
      <c r="BR998" t="s">
        <v>99</v>
      </c>
      <c r="BS998" t="s">
        <v>14129</v>
      </c>
      <c r="BT998" t="str">
        <f>HYPERLINK("https%3A%2F%2Fwww.webofscience.com%2Fwos%2Fwoscc%2Ffull-record%2FWOS:000186359200011","View Full Record in Web of Science")</f>
        <v>View Full Record in Web of Science</v>
      </c>
    </row>
    <row r="999" spans="1:72" x14ac:dyDescent="0.15">
      <c r="A999" t="s">
        <v>72</v>
      </c>
      <c r="B999" t="s">
        <v>14130</v>
      </c>
      <c r="C999" t="s">
        <v>74</v>
      </c>
      <c r="D999" t="s">
        <v>74</v>
      </c>
      <c r="E999" t="s">
        <v>74</v>
      </c>
      <c r="F999" t="s">
        <v>14130</v>
      </c>
      <c r="G999" t="s">
        <v>74</v>
      </c>
      <c r="H999" t="s">
        <v>74</v>
      </c>
      <c r="I999" t="s">
        <v>14131</v>
      </c>
      <c r="J999" t="s">
        <v>7781</v>
      </c>
      <c r="K999" t="s">
        <v>74</v>
      </c>
      <c r="L999" t="s">
        <v>74</v>
      </c>
      <c r="M999" t="s">
        <v>77</v>
      </c>
      <c r="N999" t="s">
        <v>78</v>
      </c>
      <c r="O999" t="s">
        <v>74</v>
      </c>
      <c r="P999" t="s">
        <v>74</v>
      </c>
      <c r="Q999" t="s">
        <v>74</v>
      </c>
      <c r="R999" t="s">
        <v>74</v>
      </c>
      <c r="S999" t="s">
        <v>74</v>
      </c>
      <c r="T999" t="s">
        <v>14132</v>
      </c>
      <c r="U999" t="s">
        <v>14133</v>
      </c>
      <c r="V999" t="s">
        <v>14134</v>
      </c>
      <c r="W999" t="s">
        <v>14135</v>
      </c>
      <c r="X999" t="s">
        <v>14136</v>
      </c>
      <c r="Y999" t="s">
        <v>14137</v>
      </c>
      <c r="Z999" t="s">
        <v>14138</v>
      </c>
      <c r="AA999" t="s">
        <v>74</v>
      </c>
      <c r="AB999" t="s">
        <v>14139</v>
      </c>
      <c r="AC999" t="s">
        <v>74</v>
      </c>
      <c r="AD999" t="s">
        <v>74</v>
      </c>
      <c r="AE999" t="s">
        <v>74</v>
      </c>
      <c r="AF999" t="s">
        <v>74</v>
      </c>
      <c r="AG999">
        <v>30</v>
      </c>
      <c r="AH999">
        <v>36</v>
      </c>
      <c r="AI999">
        <v>37</v>
      </c>
      <c r="AJ999">
        <v>0</v>
      </c>
      <c r="AK999">
        <v>12</v>
      </c>
      <c r="AL999" t="s">
        <v>198</v>
      </c>
      <c r="AM999" t="s">
        <v>178</v>
      </c>
      <c r="AN999" t="s">
        <v>179</v>
      </c>
      <c r="AO999" t="s">
        <v>7788</v>
      </c>
      <c r="AP999" t="s">
        <v>11584</v>
      </c>
      <c r="AQ999" t="s">
        <v>74</v>
      </c>
      <c r="AR999" t="s">
        <v>7789</v>
      </c>
      <c r="AS999" t="s">
        <v>7790</v>
      </c>
      <c r="AT999" t="s">
        <v>13883</v>
      </c>
      <c r="AU999">
        <v>2003</v>
      </c>
      <c r="AV999">
        <v>23</v>
      </c>
      <c r="AW999">
        <v>12</v>
      </c>
      <c r="AX999" t="s">
        <v>74</v>
      </c>
      <c r="AY999" t="s">
        <v>74</v>
      </c>
      <c r="AZ999" t="s">
        <v>74</v>
      </c>
      <c r="BA999" t="s">
        <v>74</v>
      </c>
      <c r="BB999">
        <v>1537</v>
      </c>
      <c r="BC999">
        <v>1545</v>
      </c>
      <c r="BD999" t="s">
        <v>74</v>
      </c>
      <c r="BE999" t="s">
        <v>14140</v>
      </c>
      <c r="BF999" t="str">
        <f>HYPERLINK("http://dx.doi.org/10.1002/joc.948","http://dx.doi.org/10.1002/joc.948")</f>
        <v>http://dx.doi.org/10.1002/joc.948</v>
      </c>
      <c r="BG999" t="s">
        <v>74</v>
      </c>
      <c r="BH999" t="s">
        <v>74</v>
      </c>
      <c r="BI999">
        <v>9</v>
      </c>
      <c r="BJ999" t="s">
        <v>186</v>
      </c>
      <c r="BK999" t="s">
        <v>96</v>
      </c>
      <c r="BL999" t="s">
        <v>186</v>
      </c>
      <c r="BM999" t="s">
        <v>14141</v>
      </c>
      <c r="BN999" t="s">
        <v>74</v>
      </c>
      <c r="BO999" t="s">
        <v>74</v>
      </c>
      <c r="BP999" t="s">
        <v>74</v>
      </c>
      <c r="BQ999" t="s">
        <v>74</v>
      </c>
      <c r="BR999" t="s">
        <v>99</v>
      </c>
      <c r="BS999" t="s">
        <v>14142</v>
      </c>
      <c r="BT999" t="str">
        <f>HYPERLINK("https%3A%2F%2Fwww.webofscience.com%2Fwos%2Fwoscc%2Ffull-record%2FWOS:000186114100008","View Full Record in Web of Science")</f>
        <v>View Full Record in Web of Science</v>
      </c>
    </row>
    <row r="1000" spans="1:72" x14ac:dyDescent="0.15">
      <c r="A1000" t="s">
        <v>72</v>
      </c>
      <c r="B1000" t="s">
        <v>14143</v>
      </c>
      <c r="C1000" t="s">
        <v>74</v>
      </c>
      <c r="D1000" t="s">
        <v>74</v>
      </c>
      <c r="E1000" t="s">
        <v>74</v>
      </c>
      <c r="F1000" t="s">
        <v>14143</v>
      </c>
      <c r="G1000" t="s">
        <v>74</v>
      </c>
      <c r="H1000" t="s">
        <v>74</v>
      </c>
      <c r="I1000" t="s">
        <v>14144</v>
      </c>
      <c r="J1000" t="s">
        <v>14145</v>
      </c>
      <c r="K1000" t="s">
        <v>74</v>
      </c>
      <c r="L1000" t="s">
        <v>74</v>
      </c>
      <c r="M1000" t="s">
        <v>77</v>
      </c>
      <c r="N1000" t="s">
        <v>78</v>
      </c>
      <c r="O1000" t="s">
        <v>74</v>
      </c>
      <c r="P1000" t="s">
        <v>74</v>
      </c>
      <c r="Q1000" t="s">
        <v>74</v>
      </c>
      <c r="R1000" t="s">
        <v>74</v>
      </c>
      <c r="S1000" t="s">
        <v>74</v>
      </c>
      <c r="T1000" t="s">
        <v>74</v>
      </c>
      <c r="U1000" t="s">
        <v>14146</v>
      </c>
      <c r="V1000" t="s">
        <v>14147</v>
      </c>
      <c r="W1000" t="s">
        <v>14148</v>
      </c>
      <c r="X1000" t="s">
        <v>14149</v>
      </c>
      <c r="Y1000" t="s">
        <v>14150</v>
      </c>
      <c r="Z1000" t="s">
        <v>14151</v>
      </c>
      <c r="AA1000" t="s">
        <v>14152</v>
      </c>
      <c r="AB1000" t="s">
        <v>14153</v>
      </c>
      <c r="AC1000" t="s">
        <v>74</v>
      </c>
      <c r="AD1000" t="s">
        <v>74</v>
      </c>
      <c r="AE1000" t="s">
        <v>74</v>
      </c>
      <c r="AF1000" t="s">
        <v>74</v>
      </c>
      <c r="AG1000">
        <v>34</v>
      </c>
      <c r="AH1000">
        <v>9</v>
      </c>
      <c r="AI1000">
        <v>12</v>
      </c>
      <c r="AJ1000">
        <v>0</v>
      </c>
      <c r="AK1000">
        <v>6</v>
      </c>
      <c r="AL1000" t="s">
        <v>2642</v>
      </c>
      <c r="AM1000" t="s">
        <v>2643</v>
      </c>
      <c r="AN1000" t="s">
        <v>2644</v>
      </c>
      <c r="AO1000" t="s">
        <v>14154</v>
      </c>
      <c r="AP1000" t="s">
        <v>14155</v>
      </c>
      <c r="AQ1000" t="s">
        <v>74</v>
      </c>
      <c r="AR1000" t="s">
        <v>14156</v>
      </c>
      <c r="AS1000" t="s">
        <v>14157</v>
      </c>
      <c r="AT1000" t="s">
        <v>13883</v>
      </c>
      <c r="AU1000">
        <v>2003</v>
      </c>
      <c r="AV1000">
        <v>24</v>
      </c>
      <c r="AW1000">
        <v>19</v>
      </c>
      <c r="AX1000" t="s">
        <v>74</v>
      </c>
      <c r="AY1000" t="s">
        <v>74</v>
      </c>
      <c r="AZ1000" t="s">
        <v>74</v>
      </c>
      <c r="BA1000" t="s">
        <v>74</v>
      </c>
      <c r="BB1000">
        <v>3807</v>
      </c>
      <c r="BC1000">
        <v>3819</v>
      </c>
      <c r="BD1000" t="s">
        <v>74</v>
      </c>
      <c r="BE1000" t="s">
        <v>14158</v>
      </c>
      <c r="BF1000" t="str">
        <f>HYPERLINK("http://dx.doi.org/10.1080/0143116021000053797","http://dx.doi.org/10.1080/0143116021000053797")</f>
        <v>http://dx.doi.org/10.1080/0143116021000053797</v>
      </c>
      <c r="BG1000" t="s">
        <v>74</v>
      </c>
      <c r="BH1000" t="s">
        <v>74</v>
      </c>
      <c r="BI1000">
        <v>13</v>
      </c>
      <c r="BJ1000" t="s">
        <v>14159</v>
      </c>
      <c r="BK1000" t="s">
        <v>96</v>
      </c>
      <c r="BL1000" t="s">
        <v>14159</v>
      </c>
      <c r="BM1000" t="s">
        <v>14160</v>
      </c>
      <c r="BN1000" t="s">
        <v>74</v>
      </c>
      <c r="BO1000" t="s">
        <v>74</v>
      </c>
      <c r="BP1000" t="s">
        <v>74</v>
      </c>
      <c r="BQ1000" t="s">
        <v>74</v>
      </c>
      <c r="BR1000" t="s">
        <v>99</v>
      </c>
      <c r="BS1000" t="s">
        <v>14161</v>
      </c>
      <c r="BT1000" t="str">
        <f>HYPERLINK("https%3A%2F%2Fwww.webofscience.com%2Fwos%2Fwoscc%2Ffull-record%2FWOS:000185448800007","View Full Record in Web of Science")</f>
        <v>View Full Record in Web of Science</v>
      </c>
    </row>
    <row r="1001" spans="1:72" x14ac:dyDescent="0.15">
      <c r="A1001" t="s">
        <v>72</v>
      </c>
      <c r="B1001" t="s">
        <v>14162</v>
      </c>
      <c r="C1001" t="s">
        <v>74</v>
      </c>
      <c r="D1001" t="s">
        <v>74</v>
      </c>
      <c r="E1001" t="s">
        <v>74</v>
      </c>
      <c r="F1001" t="s">
        <v>14162</v>
      </c>
      <c r="G1001" t="s">
        <v>74</v>
      </c>
      <c r="H1001" t="s">
        <v>74</v>
      </c>
      <c r="I1001" t="s">
        <v>14163</v>
      </c>
      <c r="J1001" t="s">
        <v>3021</v>
      </c>
      <c r="K1001" t="s">
        <v>74</v>
      </c>
      <c r="L1001" t="s">
        <v>74</v>
      </c>
      <c r="M1001" t="s">
        <v>77</v>
      </c>
      <c r="N1001" t="s">
        <v>78</v>
      </c>
      <c r="O1001" t="s">
        <v>74</v>
      </c>
      <c r="P1001" t="s">
        <v>74</v>
      </c>
      <c r="Q1001" t="s">
        <v>74</v>
      </c>
      <c r="R1001" t="s">
        <v>74</v>
      </c>
      <c r="S1001" t="s">
        <v>74</v>
      </c>
      <c r="T1001" t="s">
        <v>74</v>
      </c>
      <c r="U1001" t="s">
        <v>14164</v>
      </c>
      <c r="V1001" t="s">
        <v>14165</v>
      </c>
      <c r="W1001" t="s">
        <v>14166</v>
      </c>
      <c r="X1001" t="s">
        <v>14167</v>
      </c>
      <c r="Y1001" t="s">
        <v>14168</v>
      </c>
      <c r="Z1001" t="s">
        <v>14169</v>
      </c>
      <c r="AA1001" t="s">
        <v>74</v>
      </c>
      <c r="AB1001" t="s">
        <v>74</v>
      </c>
      <c r="AC1001" t="s">
        <v>74</v>
      </c>
      <c r="AD1001" t="s">
        <v>74</v>
      </c>
      <c r="AE1001" t="s">
        <v>74</v>
      </c>
      <c r="AF1001" t="s">
        <v>74</v>
      </c>
      <c r="AG1001">
        <v>42</v>
      </c>
      <c r="AH1001">
        <v>90</v>
      </c>
      <c r="AI1001">
        <v>96</v>
      </c>
      <c r="AJ1001">
        <v>2</v>
      </c>
      <c r="AK1001">
        <v>18</v>
      </c>
      <c r="AL1001" t="s">
        <v>297</v>
      </c>
      <c r="AM1001" t="s">
        <v>298</v>
      </c>
      <c r="AN1001" t="s">
        <v>1567</v>
      </c>
      <c r="AO1001" t="s">
        <v>3026</v>
      </c>
      <c r="AP1001" t="s">
        <v>74</v>
      </c>
      <c r="AQ1001" t="s">
        <v>74</v>
      </c>
      <c r="AR1001" t="s">
        <v>3027</v>
      </c>
      <c r="AS1001" t="s">
        <v>3028</v>
      </c>
      <c r="AT1001" t="s">
        <v>13883</v>
      </c>
      <c r="AU1001">
        <v>2003</v>
      </c>
      <c r="AV1001">
        <v>42</v>
      </c>
      <c r="AW1001">
        <v>10</v>
      </c>
      <c r="AX1001" t="s">
        <v>74</v>
      </c>
      <c r="AY1001" t="s">
        <v>74</v>
      </c>
      <c r="AZ1001" t="s">
        <v>74</v>
      </c>
      <c r="BA1001" t="s">
        <v>74</v>
      </c>
      <c r="BB1001">
        <v>1391</v>
      </c>
      <c r="BC1001">
        <v>1405</v>
      </c>
      <c r="BD1001" t="s">
        <v>74</v>
      </c>
      <c r="BE1001" t="s">
        <v>14170</v>
      </c>
      <c r="BF1001" t="str">
        <f>HYPERLINK("http://dx.doi.org/10.1175/1520-0450(2003)042&lt;1391:AICOTA&gt;2.0.CO;2","http://dx.doi.org/10.1175/1520-0450(2003)042&lt;1391:AICOTA&gt;2.0.CO;2")</f>
        <v>http://dx.doi.org/10.1175/1520-0450(2003)042&lt;1391:AICOTA&gt;2.0.CO;2</v>
      </c>
      <c r="BG1001" t="s">
        <v>74</v>
      </c>
      <c r="BH1001" t="s">
        <v>74</v>
      </c>
      <c r="BI1001">
        <v>15</v>
      </c>
      <c r="BJ1001" t="s">
        <v>186</v>
      </c>
      <c r="BK1001" t="s">
        <v>96</v>
      </c>
      <c r="BL1001" t="s">
        <v>186</v>
      </c>
      <c r="BM1001" t="s">
        <v>14171</v>
      </c>
      <c r="BN1001" t="s">
        <v>74</v>
      </c>
      <c r="BO1001" t="s">
        <v>74</v>
      </c>
      <c r="BP1001" t="s">
        <v>74</v>
      </c>
      <c r="BQ1001" t="s">
        <v>74</v>
      </c>
      <c r="BR1001" t="s">
        <v>99</v>
      </c>
      <c r="BS1001" t="s">
        <v>14172</v>
      </c>
      <c r="BT1001" t="str">
        <f>HYPERLINK("https%3A%2F%2Fwww.webofscience.com%2Fwos%2Fwoscc%2Ffull-record%2FWOS:000185665200004","View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2024-07-28T15:26:30Z</dcterms:created>
  <dcterms:modified xsi:type="dcterms:W3CDTF">2024-07-28T15:26:30Z</dcterms:modified>
</cp:coreProperties>
</file>